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2016" sheetId="1" r:id="rId3"/>
  </sheets>
  <definedNames/>
  <calcPr/>
</workbook>
</file>

<file path=xl/sharedStrings.xml><?xml version="1.0" encoding="utf-8"?>
<sst xmlns="http://schemas.openxmlformats.org/spreadsheetml/2006/main" count="143" uniqueCount="127">
  <si>
    <t xml:space="preserve">SVB </t>
  </si>
  <si>
    <t>DEMONSTRATIVO  DE  RECEITAS  E  DESPESAS  ANO 2016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</si>
  <si>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</si>
  <si>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</si>
  <si>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</si>
  <si>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</si>
  <si>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</si>
  <si>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</si>
  <si>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</si>
  <si>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</si>
  <si>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</si>
  <si>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</si>
  <si>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</si>
  <si>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</si>
  <si>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</si>
  <si>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  E  C  E  I  T  A  S</t>
  </si>
  <si>
    <t>Receitas não vinculadas a projetos e cursos</t>
  </si>
  <si>
    <t>3433 RECEITAS SOBRE APLICAÇÃO FINANCEIRAS</t>
  </si>
  <si>
    <t>6092 FRETES</t>
  </si>
  <si>
    <t>6084 LIVROS, ADESIVOS, CAMISETAS E OUTROS</t>
  </si>
  <si>
    <t>3506 OUTRAS RECEITAS</t>
  </si>
  <si>
    <t>6106 CONTRIBUIÇÃO DE ASSOCIADOS</t>
  </si>
  <si>
    <t>6432 COMISSÇAO DE VENDA DE SELO</t>
  </si>
  <si>
    <t>6440 OUTRAS RECEITAS DE CARTÃO DE CRÉDITO</t>
  </si>
  <si>
    <t>6068 DOAÇÕES DE PESSOAS FISICAS</t>
  </si>
  <si>
    <t>6076 DOAÇÕES DE PESSOAS JURIDICAS</t>
  </si>
  <si>
    <t>Receitas Financeiras</t>
  </si>
  <si>
    <t>Receitas com eventos</t>
  </si>
  <si>
    <t>6114 INSCRIÇÕES</t>
  </si>
  <si>
    <t>6238 OUTRAS RECEITAS DA VEGFEST</t>
  </si>
  <si>
    <t>6239 OUTRAS RECEITAS DA VEGFEST - Floripa</t>
  </si>
  <si>
    <t>6240 OUTRAS RECEITAS PORCO RODOANEL</t>
  </si>
  <si>
    <t>6241 OUTRAS RECEITAS SSC</t>
  </si>
  <si>
    <t>6242 OUTRAS RECEITAS GRUPO SVB SAMPA</t>
  </si>
  <si>
    <t>6243 OUTRAS RECEITAS GRUPO SVB CURITIBA</t>
  </si>
  <si>
    <t>6244 OUTRAS RECEITAS FESTIVAL DA COXINHA SANTOS</t>
  </si>
  <si>
    <t>6245 OUTRAS RECEITAS MOSTRA ANIMAL RJ</t>
  </si>
  <si>
    <t>6246 OUTRAS RECEITAS NATURAL VEG</t>
  </si>
  <si>
    <t>6247 OUTRAS RECEITAS CAMPANHA SVA</t>
  </si>
  <si>
    <t>6513 OUTRAS RECEITAS NATURAL TECH</t>
  </si>
  <si>
    <t>OUTRAS RECEITAS GLUTEN FREE 2016</t>
  </si>
  <si>
    <t>OUTRAS RECEITAS FEIRA DA VILA 2016</t>
  </si>
  <si>
    <t>OUTRAS RECEITAS MEETING NUTRIÇÃO</t>
  </si>
  <si>
    <t>OUTRAS RECEITAS CURSO NUTRIÇÃO SP E4 2016</t>
  </si>
  <si>
    <t>OUTRAS RECEITAS CONVEGCENTROOESTE 2016</t>
  </si>
  <si>
    <t>OUTRAS RECEITAS GARFO VEGGIE TABÃO</t>
  </si>
  <si>
    <t>OUTRAS RECEITAS CONVEG CUIABÁ 2016</t>
  </si>
  <si>
    <t>OUTRAS RECEITAS SVB BLUMENAU</t>
  </si>
  <si>
    <t>6211 PATROCINIOS, DOAÇÕES E APOIOS</t>
  </si>
  <si>
    <t>D E S P E S A S</t>
  </si>
  <si>
    <t>Despesas Gerais</t>
  </si>
  <si>
    <t>3948 ALVARÁS DE LICENÇA DE FUNCIONAMENTO</t>
  </si>
  <si>
    <t>Thaís</t>
  </si>
  <si>
    <t>TRANSPORTE</t>
  </si>
  <si>
    <t>RESCISÃO THAIS</t>
  </si>
  <si>
    <t>Arícia</t>
  </si>
  <si>
    <t>13º SAL.</t>
  </si>
  <si>
    <t>Mariana</t>
  </si>
  <si>
    <t>FGTS</t>
  </si>
  <si>
    <t>INSS</t>
  </si>
  <si>
    <t>PIS</t>
  </si>
  <si>
    <t>CONTRIBUIÇÃO SINDICAL</t>
  </si>
  <si>
    <t>AJUDA DE CUSTO</t>
  </si>
  <si>
    <t>5045 BENS NÃO IMOBILIZÁVEIS</t>
  </si>
  <si>
    <t>4650 COMBUSTIVEIS E LUBRIFICANTES</t>
  </si>
  <si>
    <t>3190 COPA, COZINHA E REFEITÓRIO</t>
  </si>
  <si>
    <t xml:space="preserve">4006 CORREIOS E MALOTES </t>
  </si>
  <si>
    <t>CARTÓRIO</t>
  </si>
  <si>
    <t>MATERIAL DIVERSO</t>
  </si>
  <si>
    <t>MATERIAL GRÁFICO</t>
  </si>
  <si>
    <t>4090 DEPRECIAÇÃO E AMORTIZAÇÃO</t>
  </si>
  <si>
    <t>4758 DESPESAS DIVERSAS</t>
  </si>
  <si>
    <t>3301 ENERGIA ELÉTRICA</t>
  </si>
  <si>
    <t>3280 ESTACIONAMENTO, PEDÁGIO E TAXI</t>
  </si>
  <si>
    <t>4014 FOTOCÓPIAS E DESPESAS CARTORARIAS</t>
  </si>
  <si>
    <t>3247 HONORÁRIOS PROFISSINAIS</t>
  </si>
  <si>
    <t>ASSESSORIA DE IMPRENSA</t>
  </si>
  <si>
    <t>MIDIAS SOCIAIS</t>
  </si>
  <si>
    <t>EQUIPE FILIAÇÃO</t>
  </si>
  <si>
    <t>COMISSÃO FILIAÇÃO</t>
  </si>
  <si>
    <t>ASSESSORIA FINANCEIRA</t>
  </si>
  <si>
    <t>ASSESSORIA CONTABIL</t>
  </si>
  <si>
    <t>COMISSÃO SELO</t>
  </si>
  <si>
    <t>LUZ</t>
  </si>
  <si>
    <t>5134 IOF</t>
  </si>
  <si>
    <t>3271 IPTU</t>
  </si>
  <si>
    <t xml:space="preserve">3310 MANUTENÇÃO DE SISTEMA </t>
  </si>
  <si>
    <t>3310 MANUTENÇÃO E REPAROS</t>
  </si>
  <si>
    <t>3182 MATERIAIS DE ESCRITÓRIO E INFORMÁTICA</t>
  </si>
  <si>
    <t>6351 MATERIAL DE DIVULGAÇÃO</t>
  </si>
  <si>
    <t>4316 PRESTAÇÃO DE SERVIÇOS PESSOA JURIDICA</t>
  </si>
  <si>
    <t>3212 PROPAGANDA E PUBLICIDADE</t>
  </si>
  <si>
    <t>6360 SERVIÇOES E APOIO EM DIVULGAÇÃO</t>
  </si>
  <si>
    <t>3298 TELEFONES E DEMAIS COMUNICAÇÕES</t>
  </si>
  <si>
    <t>INTERNET</t>
  </si>
  <si>
    <t>4057 USO OU CONSUMO</t>
  </si>
  <si>
    <t>3174 VIAGENS E ESTADIAS</t>
  </si>
  <si>
    <t>Despesas Gerais com Eventos</t>
  </si>
  <si>
    <t>6157 ALUGUEIS E LOC. DE EQUIP. E UTENSILIOS</t>
  </si>
  <si>
    <t>6459 COMBUSTIVEIS E LUBRIFICANTES</t>
  </si>
  <si>
    <t xml:space="preserve">6467 COPA, COZINHA E REFEITÓRIO </t>
  </si>
  <si>
    <t>6335 CORREIOS</t>
  </si>
  <si>
    <t>DOMÍNIO SITE</t>
  </si>
  <si>
    <t>DESPESAS COM ATIVIDADES</t>
  </si>
  <si>
    <t xml:space="preserve">6220 DESPESAS DIVERSAS </t>
  </si>
  <si>
    <t>6300 ESTACIONAMENTO, TAXI E PEDÁGIO</t>
  </si>
  <si>
    <t>TRANSPORTE LOCAL</t>
  </si>
  <si>
    <t>6556 FOTOCOPIAS, REGISTROS</t>
  </si>
  <si>
    <t>PASSAGEM</t>
  </si>
  <si>
    <t>6149 HOSPEDAGEM E OUTROS</t>
  </si>
  <si>
    <t>6530 MATERIAL DE LIMPEZA</t>
  </si>
  <si>
    <t>6327 PUBLICIDADE E PROPAGANDA</t>
  </si>
  <si>
    <t>6548 SERVIÇOS DE APOIO EM DIVULGAÇÃO</t>
  </si>
  <si>
    <t>6319 SERVIÇOS PRESTADOS</t>
  </si>
  <si>
    <t>6475 TELEFONES E DEMAIS COMUNICAÇÕES</t>
  </si>
  <si>
    <t>6564 VIAGENS E ESTADIAS</t>
  </si>
  <si>
    <t>Despesas Financeiras</t>
  </si>
  <si>
    <t>3387 DESPESAS BANCARIAS</t>
  </si>
  <si>
    <t>3360 JUROS E ENCARGOS</t>
  </si>
  <si>
    <t>12/31/2015</t>
  </si>
  <si>
    <t>Fundo de caixa</t>
  </si>
  <si>
    <t>Itaú Aplicação Automais</t>
  </si>
  <si>
    <t>Itaú Aplicação CDB</t>
  </si>
  <si>
    <t>Itaú Aplicação DI</t>
  </si>
  <si>
    <t>Itaú Poupança</t>
  </si>
  <si>
    <t>Itaú Conta Corrente</t>
  </si>
  <si>
    <t>12/31/2016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</si>
</sst>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* #,##0.00_-;\-* #,##0.00_-;_-* &quot;-&quot;??_-;_-@"/>
    <numFmt numFmtId="165" formatCode="#,##0.00;(#,##0.00)"/>
    <numFmt numFmtId="166" formatCode="dmyy"/>
    <numFmt numFmtId="167" formatCode="#,##0.00;[Red]#,##0.00"/>
  </numFmts>
  <fonts count="14">
    <font>
      <sz val="10.0"/>
      <color rgb="FF000000"/>
      <name val="Arial"/>
    </font>
    <font>
      <b/>
      <sz val="10.0"/>
      <color rgb="FF000000"/>
      <name val="Calibri"/>
    </font>
    <font>
      <sz val="10.0"/>
      <color rgb="FF000000"/>
      <name val="Calibri"/>
    </font>
    <font>
      <name val="Arial"/>
    </font>
    <font/>
    <font>
      <sz val="11.0"/>
      <color rgb="FF000000"/>
      <name val="Calibri"/>
    </font>
    <font>
      <b/>
      <sz val="11.0"/>
      <color rgb="FF000000"/>
      <name val="Calibri"/>
    </font>
    <font>
      <sz val="11.0"/>
      <color rgb="FF000000"/>
      <name val="Inconsolata"/>
    </font>
    <font>
      <color rgb="FF000000"/>
      <name val="Arial"/>
    </font>
    <font>
      <color rgb="FF000000"/>
      <name val="Calibri"/>
    </font>
    <font>
      <b/>
      <color rgb="FF000000"/>
      <name val="Calibri"/>
    </font>
    <font>
      <sz val="11.0"/>
      <color rgb="FF1155CC"/>
      <name val="Inconsolata"/>
    </font>
    <font>
      <u/>
      <sz val="10.0"/>
      <color rgb="FF000000"/>
      <name val="Calibri"/>
    </font>
    <font>
      <u/>
      <sz val="10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EEECE1"/>
        <bgColor rgb="FFEEECE1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  <fill>
      <patternFill patternType="solid">
        <fgColor rgb="FFFFFF00"/>
        <bgColor rgb="FFFFFF00"/>
      </patternFill>
    </fill>
  </fills>
  <borders count="5">
    <border/>
    <border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0"/>
    </xf>
    <xf borderId="0" fillId="0" fontId="2" numFmtId="0" xfId="0" applyAlignment="1" applyFont="1">
      <alignment shrinkToFit="0" wrapText="0"/>
    </xf>
    <xf borderId="0" fillId="0" fontId="2" numFmtId="0" xfId="0" applyAlignment="1" applyFont="1">
      <alignment horizontal="right" shrinkToFit="0" wrapText="0"/>
    </xf>
    <xf borderId="0" fillId="0" fontId="2" numFmtId="164" xfId="0" applyAlignment="1" applyFont="1" applyNumberFormat="1">
      <alignment shrinkToFit="0" wrapText="0"/>
    </xf>
    <xf borderId="0" fillId="0" fontId="1" numFmtId="164" xfId="0" applyAlignment="1" applyFont="1" applyNumberFormat="1">
      <alignment shrinkToFit="0" wrapText="0"/>
    </xf>
    <xf borderId="0" fillId="0" fontId="2" numFmtId="165" xfId="0" applyAlignment="1" applyFont="1" applyNumberFormat="1">
      <alignment shrinkToFit="0" wrapText="0"/>
    </xf>
    <xf borderId="0" fillId="0" fontId="1" numFmtId="164" xfId="0" applyAlignment="1" applyFont="1" applyNumberFormat="1">
      <alignment horizontal="center" shrinkToFit="0" wrapText="0"/>
    </xf>
    <xf borderId="1" fillId="0" fontId="1" numFmtId="164" xfId="0" applyAlignment="1" applyBorder="1" applyFont="1" applyNumberFormat="1">
      <alignment horizontal="center" shrinkToFit="0" wrapText="0"/>
    </xf>
    <xf borderId="1" fillId="0" fontId="1" numFmtId="164" xfId="0" applyAlignment="1" applyBorder="1" applyFont="1" applyNumberFormat="1">
      <alignment shrinkToFit="0" wrapText="0"/>
    </xf>
    <xf borderId="2" fillId="2" fontId="1" numFmtId="0" xfId="0" applyAlignment="1" applyBorder="1" applyFill="1" applyFont="1">
      <alignment horizontal="center" shrinkToFit="0" vertical="center" wrapText="0"/>
    </xf>
    <xf borderId="3" fillId="2" fontId="1" numFmtId="0" xfId="0" applyAlignment="1" applyBorder="1" applyFont="1">
      <alignment horizontal="center" shrinkToFit="0" vertical="center" wrapText="0"/>
    </xf>
    <xf borderId="2" fillId="2" fontId="1" numFmtId="0" xfId="0" applyAlignment="1" applyBorder="1" applyFont="1">
      <alignment horizontal="center" readingOrder="0" shrinkToFit="0" vertical="center" wrapText="0"/>
    </xf>
    <xf borderId="2" fillId="2" fontId="1" numFmtId="164" xfId="0" applyAlignment="1" applyBorder="1" applyFont="1" applyNumberFormat="1">
      <alignment horizontal="center" readingOrder="0" shrinkToFit="0" vertical="center" wrapText="0"/>
    </xf>
    <xf borderId="2" fillId="2" fontId="1" numFmtId="164" xfId="0" applyAlignment="1" applyBorder="1" applyFont="1" applyNumberFormat="1">
      <alignment horizontal="center" shrinkToFit="0" vertical="center" wrapText="0"/>
    </xf>
    <xf borderId="0" fillId="0" fontId="1" numFmtId="0" xfId="0" applyAlignment="1" applyFont="1">
      <alignment shrinkToFit="0" wrapText="0"/>
    </xf>
    <xf borderId="0" fillId="0" fontId="1" numFmtId="0" xfId="0" applyAlignment="1" applyFont="1">
      <alignment horizontal="left" shrinkToFit="0" wrapText="0"/>
    </xf>
    <xf borderId="0" fillId="3" fontId="2" numFmtId="164" xfId="0" applyAlignment="1" applyFill="1" applyFont="1" applyNumberFormat="1">
      <alignment shrinkToFit="0" wrapText="0"/>
    </xf>
    <xf borderId="0" fillId="0" fontId="1" numFmtId="10" xfId="0" applyAlignment="1" applyFont="1" applyNumberFormat="1">
      <alignment shrinkToFit="0" wrapText="0"/>
    </xf>
    <xf borderId="0" fillId="0" fontId="1" numFmtId="165" xfId="0" applyAlignment="1" applyFont="1" applyNumberFormat="1">
      <alignment shrinkToFit="0" wrapText="0"/>
    </xf>
    <xf borderId="0" fillId="0" fontId="2" numFmtId="0" xfId="0" applyAlignment="1" applyFont="1">
      <alignment horizontal="left" readingOrder="0" shrinkToFit="0" wrapText="0"/>
    </xf>
    <xf borderId="0" fillId="0" fontId="2" numFmtId="164" xfId="0" applyAlignment="1" applyFont="1" applyNumberFormat="1">
      <alignment horizontal="right" readingOrder="0" shrinkToFit="0" wrapText="0"/>
    </xf>
    <xf borderId="0" fillId="3" fontId="2" numFmtId="164" xfId="0" applyAlignment="1" applyFont="1" applyNumberFormat="1">
      <alignment readingOrder="0" shrinkToFit="0" wrapText="0"/>
    </xf>
    <xf borderId="0" fillId="0" fontId="1" numFmtId="164" xfId="0" applyAlignment="1" applyFont="1" applyNumberFormat="1">
      <alignment readingOrder="0" shrinkToFit="0" wrapText="0"/>
    </xf>
    <xf borderId="0" fillId="0" fontId="2" numFmtId="164" xfId="0" applyAlignment="1" applyFont="1" applyNumberFormat="1">
      <alignment readingOrder="0" shrinkToFit="0" wrapText="0"/>
    </xf>
    <xf borderId="0" fillId="3" fontId="2" numFmtId="0" xfId="0" applyAlignment="1" applyFont="1">
      <alignment shrinkToFit="0" wrapText="0"/>
    </xf>
    <xf borderId="0" fillId="3" fontId="2" numFmtId="165" xfId="0" applyAlignment="1" applyFont="1" applyNumberFormat="1">
      <alignment shrinkToFit="0" wrapText="0"/>
    </xf>
    <xf borderId="0" fillId="0" fontId="1" numFmtId="0" xfId="0" applyAlignment="1" applyFont="1">
      <alignment horizontal="left" readingOrder="0" shrinkToFit="0" wrapText="0"/>
    </xf>
    <xf borderId="0" fillId="3" fontId="2" numFmtId="165" xfId="0" applyAlignment="1" applyFont="1" applyNumberFormat="1">
      <alignment readingOrder="0" shrinkToFit="0" wrapText="0"/>
    </xf>
    <xf borderId="0" fillId="0" fontId="1" numFmtId="165" xfId="0" applyAlignment="1" applyFont="1" applyNumberFormat="1">
      <alignment readingOrder="0" shrinkToFit="0" wrapText="0"/>
    </xf>
    <xf borderId="0" fillId="0" fontId="3" numFmtId="165" xfId="0" applyAlignment="1" applyFont="1" applyNumberFormat="1">
      <alignment horizontal="right" vertical="bottom"/>
    </xf>
    <xf borderId="0" fillId="0" fontId="3" numFmtId="164" xfId="0" applyAlignment="1" applyFont="1" applyNumberFormat="1">
      <alignment vertical="bottom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center" readingOrder="0"/>
    </xf>
    <xf borderId="0" fillId="0" fontId="4" numFmtId="165" xfId="0" applyAlignment="1" applyFont="1" applyNumberFormat="1">
      <alignment readingOrder="0"/>
    </xf>
    <xf borderId="0" fillId="0" fontId="2" numFmtId="0" xfId="0" applyAlignment="1" applyFont="1">
      <alignment horizontal="left" shrinkToFit="0" wrapText="0"/>
    </xf>
    <xf borderId="0" fillId="0" fontId="2" numFmtId="164" xfId="0" applyAlignment="1" applyFont="1" applyNumberFormat="1">
      <alignment horizontal="right" shrinkToFit="0" wrapText="0"/>
    </xf>
    <xf borderId="4" fillId="4" fontId="5" numFmtId="0" xfId="0" applyAlignment="1" applyBorder="1" applyFill="1" applyFont="1">
      <alignment shrinkToFit="0" wrapText="0"/>
    </xf>
    <xf borderId="4" fillId="4" fontId="6" numFmtId="0" xfId="0" applyAlignment="1" applyBorder="1" applyFont="1">
      <alignment horizontal="right" shrinkToFit="0" wrapText="0"/>
    </xf>
    <xf borderId="4" fillId="4" fontId="6" numFmtId="164" xfId="0" applyAlignment="1" applyBorder="1" applyFont="1" applyNumberFormat="1">
      <alignment horizontal="right" shrinkToFit="0" wrapText="0"/>
    </xf>
    <xf borderId="4" fillId="4" fontId="6" numFmtId="164" xfId="0" applyAlignment="1" applyBorder="1" applyFont="1" applyNumberFormat="1">
      <alignment shrinkToFit="0" wrapText="0"/>
    </xf>
    <xf borderId="4" fillId="5" fontId="1" numFmtId="10" xfId="0" applyAlignment="1" applyBorder="1" applyFill="1" applyFont="1" applyNumberFormat="1">
      <alignment shrinkToFit="0" wrapText="0"/>
    </xf>
    <xf borderId="0" fillId="3" fontId="7" numFmtId="165" xfId="0" applyFont="1" applyNumberFormat="1"/>
    <xf borderId="0" fillId="3" fontId="7" numFmtId="0" xfId="0" applyFont="1"/>
    <xf borderId="0" fillId="3" fontId="5" numFmtId="0" xfId="0" applyAlignment="1" applyFont="1">
      <alignment shrinkToFit="0" wrapText="0"/>
    </xf>
    <xf borderId="0" fillId="0" fontId="5" numFmtId="0" xfId="0" applyAlignment="1" applyFont="1">
      <alignment shrinkToFit="0" wrapText="0"/>
    </xf>
    <xf borderId="0" fillId="0" fontId="2" numFmtId="0" xfId="0" applyAlignment="1" applyFont="1">
      <alignment horizontal="right" readingOrder="0" shrinkToFit="0" wrapText="0"/>
    </xf>
    <xf borderId="0" fillId="0" fontId="8" numFmtId="164" xfId="0" applyAlignment="1" applyFont="1" applyNumberFormat="1">
      <alignment readingOrder="0" shrinkToFit="0" vertical="bottom" wrapText="0"/>
    </xf>
    <xf borderId="0" fillId="3" fontId="5" numFmtId="165" xfId="0" applyAlignment="1" applyFont="1" applyNumberFormat="1">
      <alignment readingOrder="0" shrinkToFit="0" wrapText="0"/>
    </xf>
    <xf borderId="0" fillId="0" fontId="2" numFmtId="0" xfId="0" applyAlignment="1" applyFont="1">
      <alignment readingOrder="0" shrinkToFit="0" wrapText="0"/>
    </xf>
    <xf borderId="0" fillId="3" fontId="2" numFmtId="0" xfId="0" applyAlignment="1" applyFont="1">
      <alignment readingOrder="0" shrinkToFit="0" wrapText="0"/>
    </xf>
    <xf borderId="0" fillId="6" fontId="1" numFmtId="164" xfId="0" applyAlignment="1" applyFill="1" applyFont="1" applyNumberFormat="1">
      <alignment shrinkToFit="0" wrapText="0"/>
    </xf>
    <xf borderId="0" fillId="3" fontId="4" numFmtId="165" xfId="0" applyAlignment="1" applyFont="1" applyNumberFormat="1">
      <alignment readingOrder="0"/>
    </xf>
    <xf borderId="0" fillId="7" fontId="1" numFmtId="164" xfId="0" applyAlignment="1" applyFill="1" applyFont="1" applyNumberFormat="1">
      <alignment shrinkToFit="0" wrapText="0"/>
    </xf>
    <xf borderId="0" fillId="3" fontId="1" numFmtId="165" xfId="0" applyAlignment="1" applyFont="1" applyNumberFormat="1">
      <alignment readingOrder="0" shrinkToFit="0" wrapText="0"/>
    </xf>
    <xf borderId="0" fillId="3" fontId="7" numFmtId="164" xfId="0" applyAlignment="1" applyFont="1" applyNumberFormat="1">
      <alignment readingOrder="0"/>
    </xf>
    <xf borderId="0" fillId="0" fontId="2" numFmtId="165" xfId="0" applyAlignment="1" applyFont="1" applyNumberFormat="1">
      <alignment readingOrder="0" shrinkToFit="0" wrapText="0"/>
    </xf>
    <xf borderId="0" fillId="3" fontId="2" numFmtId="4" xfId="0" applyAlignment="1" applyFont="1" applyNumberFormat="1">
      <alignment readingOrder="0" shrinkToFit="0" wrapText="0"/>
    </xf>
    <xf borderId="0" fillId="0" fontId="3" numFmtId="0" xfId="0" applyAlignment="1" applyFont="1">
      <alignment vertical="bottom"/>
    </xf>
    <xf borderId="0" fillId="0" fontId="9" numFmtId="0" xfId="0" applyAlignment="1" applyFont="1">
      <alignment horizontal="left" shrinkToFit="0" vertical="bottom" wrapText="0"/>
    </xf>
    <xf borderId="0" fillId="0" fontId="9" numFmtId="164" xfId="0" applyAlignment="1" applyFont="1" applyNumberFormat="1">
      <alignment horizontal="right" shrinkToFit="0" vertical="bottom" wrapText="0"/>
    </xf>
    <xf borderId="0" fillId="3" fontId="9" numFmtId="164" xfId="0" applyAlignment="1" applyFont="1" applyNumberFormat="1">
      <alignment horizontal="right" shrinkToFit="0" vertical="bottom" wrapText="0"/>
    </xf>
    <xf borderId="0" fillId="3" fontId="9" numFmtId="164" xfId="0" applyAlignment="1" applyFont="1" applyNumberFormat="1">
      <alignment horizontal="right" readingOrder="0" shrinkToFit="0" vertical="bottom" wrapText="0"/>
    </xf>
    <xf borderId="0" fillId="7" fontId="10" numFmtId="164" xfId="0" applyAlignment="1" applyFont="1" applyNumberFormat="1">
      <alignment horizontal="right" shrinkToFit="0" vertical="bottom" wrapText="0"/>
    </xf>
    <xf borderId="0" fillId="0" fontId="9" numFmtId="0" xfId="0" applyAlignment="1" applyFont="1">
      <alignment horizontal="right" readingOrder="0" shrinkToFit="0" vertical="bottom" wrapText="0"/>
    </xf>
    <xf borderId="0" fillId="3" fontId="3" numFmtId="0" xfId="0" applyAlignment="1" applyFont="1">
      <alignment vertical="bottom"/>
    </xf>
    <xf borderId="0" fillId="3" fontId="2" numFmtId="165" xfId="0" applyAlignment="1" applyFont="1" applyNumberFormat="1">
      <alignment horizontal="right" shrinkToFit="0" wrapText="0"/>
    </xf>
    <xf borderId="0" fillId="3" fontId="7" numFmtId="165" xfId="0" applyAlignment="1" applyFont="1" applyNumberFormat="1">
      <alignment horizontal="right"/>
    </xf>
    <xf borderId="4" fillId="4" fontId="6" numFmtId="0" xfId="0" applyAlignment="1" applyBorder="1" applyFont="1">
      <alignment shrinkToFit="0" wrapText="0"/>
    </xf>
    <xf borderId="0" fillId="3" fontId="6" numFmtId="0" xfId="0" applyAlignment="1" applyFont="1">
      <alignment shrinkToFit="0" wrapText="0"/>
    </xf>
    <xf borderId="0" fillId="0" fontId="6" numFmtId="0" xfId="0" applyAlignment="1" applyFont="1">
      <alignment shrinkToFit="0" wrapText="0"/>
    </xf>
    <xf borderId="0" fillId="3" fontId="6" numFmtId="165" xfId="0" applyAlignment="1" applyFont="1" applyNumberFormat="1">
      <alignment readingOrder="0" shrinkToFit="0" wrapText="0"/>
    </xf>
    <xf borderId="0" fillId="3" fontId="2" numFmtId="0" xfId="0" applyAlignment="1" applyFont="1">
      <alignment horizontal="right" shrinkToFit="0" wrapText="0"/>
    </xf>
    <xf borderId="0" fillId="0" fontId="2" numFmtId="166" xfId="0" applyAlignment="1" applyFont="1" applyNumberFormat="1">
      <alignment horizontal="right" readingOrder="0" shrinkToFit="0" wrapText="0"/>
    </xf>
    <xf borderId="0" fillId="0" fontId="2" numFmtId="166" xfId="0" applyAlignment="1" applyFont="1" applyNumberFormat="1">
      <alignment horizontal="right" shrinkToFit="0" wrapText="0"/>
    </xf>
    <xf borderId="0" fillId="3" fontId="11" numFmtId="164" xfId="0" applyAlignment="1" applyFont="1" applyNumberFormat="1">
      <alignment readingOrder="0"/>
    </xf>
    <xf borderId="0" fillId="0" fontId="2" numFmtId="167" xfId="0" applyAlignment="1" applyFont="1" applyNumberFormat="1">
      <alignment shrinkToFit="0" wrapText="0"/>
    </xf>
    <xf borderId="0" fillId="3" fontId="7" numFmtId="164" xfId="0" applyFont="1" applyNumberFormat="1"/>
    <xf borderId="1" fillId="0" fontId="2" numFmtId="164" xfId="0" applyAlignment="1" applyBorder="1" applyFont="1" applyNumberFormat="1">
      <alignment horizontal="right" readingOrder="0" shrinkToFit="0" wrapText="0"/>
    </xf>
    <xf borderId="0" fillId="0" fontId="12" numFmtId="164" xfId="0" applyAlignment="1" applyFont="1" applyNumberFormat="1">
      <alignment shrinkToFit="0" wrapText="0"/>
    </xf>
    <xf borderId="0" fillId="0" fontId="13" numFmtId="164" xfId="0" applyAlignment="1" applyFont="1" applyNumberFormat="1">
      <alignment readingOrder="0" shrinkToFit="0" wrapText="0"/>
    </xf>
    <xf borderId="0" fillId="0" fontId="1" numFmtId="0" xfId="0" applyAlignment="1" applyFont="1">
      <alignment horizontal="right" shrinkToFit="0" wrapText="0"/>
    </xf>
    <xf borderId="0" fillId="0" fontId="1" numFmtId="164" xfId="0" applyAlignment="1" applyFont="1" applyNumberFormat="1">
      <alignment horizontal="right" shrinkToFit="0" wrapText="0"/>
    </xf>
    <xf borderId="0" fillId="8" fontId="2" numFmtId="164" xfId="0" applyAlignment="1" applyFill="1" applyFont="1" applyNumberFormat="1">
      <alignment horizontal="right" shrinkToFit="0" wrapText="0"/>
    </xf>
    <xf borderId="0" fillId="3" fontId="2" numFmtId="164" xfId="0" applyAlignment="1" applyFont="1" applyNumberFormat="1">
      <alignment horizontal="right" readingOrder="0" shrinkToFit="0" wrapText="0"/>
    </xf>
    <xf borderId="0" fillId="8" fontId="2" numFmtId="164" xfId="0" applyAlignment="1" applyFont="1" applyNumberFormat="1">
      <alignment horizontal="right"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7.29" defaultRowHeight="15.0"/>
  <cols>
    <col customWidth="1" min="1" max="1" width="2.29"/>
    <col customWidth="1" min="2" max="2" width="42.29"/>
    <col customWidth="1" min="3" max="3" width="12.86"/>
    <col customWidth="1" min="4" max="11" width="11.0"/>
    <col customWidth="1" min="12" max="15" width="11.57"/>
    <col customWidth="1" min="16" max="16" width="13.86"/>
    <col customWidth="1" min="17" max="17" width="9.14"/>
    <col customWidth="1" min="18" max="30" width="8.71"/>
  </cols>
  <sheetData>
    <row r="1" ht="12.75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2"/>
      <c r="Q1" s="6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ht="12.75" customHeight="1">
      <c r="A2" s="1" t="s">
        <v>1</v>
      </c>
      <c r="B2" s="2"/>
      <c r="C2" s="3"/>
      <c r="D2" s="7"/>
      <c r="E2" s="7"/>
      <c r="F2" s="7"/>
      <c r="G2" s="7"/>
      <c r="H2" s="7"/>
      <c r="I2" s="7"/>
      <c r="J2" s="7"/>
      <c r="K2" s="8"/>
      <c r="L2" s="8"/>
      <c r="M2" s="8"/>
      <c r="N2" s="8"/>
      <c r="O2" s="9"/>
      <c r="P2" s="2"/>
      <c r="Q2" s="6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ht="12.75" customHeight="1">
      <c r="A3" s="10"/>
      <c r="B3" s="11"/>
      <c r="C3" s="12" t="s">
        <v>2</v>
      </c>
      <c r="D3" s="13" t="s">
        <v>3</v>
      </c>
      <c r="E3" s="13" t="s">
        <v>4</v>
      </c>
      <c r="F3" s="12" t="s">
        <v>5</v>
      </c>
      <c r="G3" s="13" t="s">
        <v>6</v>
      </c>
      <c r="H3" s="13" t="s">
        <v>7</v>
      </c>
      <c r="I3" s="12" t="s">
        <v>8</v>
      </c>
      <c r="J3" s="13" t="s">
        <v>9</v>
      </c>
      <c r="K3" s="14" t="s">
        <v>10</v>
      </c>
      <c r="L3" s="14" t="s">
        <v>11</v>
      </c>
      <c r="M3" s="14" t="s">
        <v>12</v>
      </c>
      <c r="N3" s="14" t="s">
        <v>13</v>
      </c>
      <c r="O3" s="14" t="s">
        <v>14</v>
      </c>
      <c r="P3" s="2"/>
      <c r="Q3" s="6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ht="12.75" customHeight="1">
      <c r="A4" s="15" t="s">
        <v>15</v>
      </c>
      <c r="B4" s="2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2"/>
      <c r="Q4" s="6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ht="12.75" customHeight="1">
      <c r="A5" s="2"/>
      <c r="B5" s="2"/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2"/>
      <c r="Q5" s="6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ht="12.75" customHeight="1">
      <c r="A6" s="16" t="s">
        <v>16</v>
      </c>
      <c r="B6" s="2"/>
      <c r="C6" s="3"/>
      <c r="D6" s="17"/>
      <c r="E6" s="17"/>
      <c r="F6" s="17"/>
      <c r="G6" s="17"/>
      <c r="H6" s="17"/>
      <c r="I6" s="17"/>
      <c r="J6" s="17"/>
      <c r="K6" s="17"/>
      <c r="L6" s="4"/>
      <c r="M6" s="4"/>
      <c r="N6" s="4"/>
      <c r="O6" s="5"/>
      <c r="P6" s="18"/>
      <c r="Q6" s="19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ht="12.75" customHeight="1">
      <c r="A7" s="2"/>
      <c r="B7" s="20" t="s">
        <v>17</v>
      </c>
      <c r="C7" s="21">
        <f>11.65+0.03+0.09+0.17+0.49+0.22</f>
        <v>12.65</v>
      </c>
      <c r="D7" s="22">
        <f>0.03+0.02+0.03+0.02+0.01+0.01+0.17</f>
        <v>0.29</v>
      </c>
      <c r="E7" s="22">
        <f>0.01+0.24+0.14+0.06+0.21</f>
        <v>0.66</v>
      </c>
      <c r="F7" s="22">
        <f>0.01+0.01+0.25+0.07+0.02+0.01</f>
        <v>0.37</v>
      </c>
      <c r="G7" s="22">
        <f>0.01+0.01+0.01+0.02+0.05+0.08+0.39+1.11</f>
        <v>1.68</v>
      </c>
      <c r="H7" s="22">
        <f>0.06+0.01+0.21+1.18+0.09+0.1+0.02+0.19</f>
        <v>1.86</v>
      </c>
      <c r="I7" s="22">
        <f>0.04+0.01+0.2+0.08+0.02+0.07+0.26+0.82</f>
        <v>1.5</v>
      </c>
      <c r="J7" s="22">
        <f>0.03+3.24+0.68+2.2+1.54+15.11</f>
        <v>22.8</v>
      </c>
      <c r="K7" s="22">
        <f>1.02+0.67+2.17+0.18+1.29+0.09+20.86</f>
        <v>26.28</v>
      </c>
      <c r="L7" s="4">
        <f>4.81+0.34+1.02+1.53+8.5+3.75+6.88+18.03</f>
        <v>44.86</v>
      </c>
      <c r="M7" s="4">
        <f>2.21+0.03+0.2+0.15+0.3+0.34+0.03+0.04+0.04</f>
        <v>3.34</v>
      </c>
      <c r="N7" s="4">
        <f>0.36+0.04+0.19+0.31+8.33</f>
        <v>9.23</v>
      </c>
      <c r="O7" s="5">
        <f t="shared" ref="O7:O38" si="1">SUM(C7:N7)</f>
        <v>125.52</v>
      </c>
      <c r="P7" s="23"/>
      <c r="Q7" s="6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ht="12.75" customHeight="1">
      <c r="A8" s="2"/>
      <c r="B8" s="20" t="s">
        <v>18</v>
      </c>
      <c r="C8" s="21"/>
      <c r="D8" s="22"/>
      <c r="E8" s="22"/>
      <c r="F8" s="22"/>
      <c r="G8" s="22"/>
      <c r="H8" s="22"/>
      <c r="I8" s="22"/>
      <c r="J8" s="22"/>
      <c r="K8" s="22"/>
      <c r="L8" s="4"/>
      <c r="M8" s="24">
        <v>40.3</v>
      </c>
      <c r="N8" s="4"/>
      <c r="O8" s="5">
        <f t="shared" si="1"/>
        <v>40.3</v>
      </c>
      <c r="P8" s="23"/>
      <c r="Q8" s="6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ht="12.75" customHeight="1">
      <c r="A9" s="2"/>
      <c r="B9" s="20" t="s">
        <v>19</v>
      </c>
      <c r="C9" s="21">
        <f>5000+38.92+15.57</f>
        <v>5054.49</v>
      </c>
      <c r="D9" s="22">
        <v>3600.0</v>
      </c>
      <c r="E9" s="22">
        <f>40.87+3500+480</f>
        <v>4020.87</v>
      </c>
      <c r="F9" s="22">
        <f>1935.44+163.2+1122.24+4.86</f>
        <v>3225.74</v>
      </c>
      <c r="G9" s="22">
        <f>4700+2560.87+1500+159.5</f>
        <v>8920.37</v>
      </c>
      <c r="H9" s="22">
        <f>53.51+3000</f>
        <v>3053.51</v>
      </c>
      <c r="I9" s="22">
        <f>136.08+500.58+144+373</f>
        <v>1153.66</v>
      </c>
      <c r="J9" s="22">
        <f>3280+48.65+1340.4+52.43+58.38+3910</f>
        <v>8689.86</v>
      </c>
      <c r="K9" s="22">
        <f>893.7+47.5+107.52+3800</f>
        <v>4848.72</v>
      </c>
      <c r="L9" s="4">
        <f>113.76+14.4+1027.9+6400</f>
        <v>7556.06</v>
      </c>
      <c r="M9" s="4">
        <f>34.56+3130+643</f>
        <v>3807.56</v>
      </c>
      <c r="N9" s="4">
        <f>29.19+126.49+1059.9</f>
        <v>1215.58</v>
      </c>
      <c r="O9" s="5">
        <f t="shared" si="1"/>
        <v>55146.42</v>
      </c>
      <c r="P9" s="23"/>
      <c r="Q9" s="6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ht="12.75" customHeight="1">
      <c r="A10" s="2"/>
      <c r="B10" s="20" t="s">
        <v>20</v>
      </c>
      <c r="C10" s="21">
        <f>100+244.35+0.49+0.2+166.66</f>
        <v>511.7</v>
      </c>
      <c r="D10" s="17">
        <f>700+50+5+4.76+166.66</f>
        <v>926.42</v>
      </c>
      <c r="E10" s="22">
        <f>200+100+750.12+225+166.66</f>
        <v>1441.78</v>
      </c>
      <c r="F10" s="22">
        <f>300+31.13</f>
        <v>331.13</v>
      </c>
      <c r="G10" s="22">
        <f>84.5</f>
        <v>84.5</v>
      </c>
      <c r="H10" s="17">
        <f>50+97.5</f>
        <v>147.5</v>
      </c>
      <c r="I10" s="17">
        <f>212+400</f>
        <v>612</v>
      </c>
      <c r="J10" s="17">
        <f>24.3+179.82</f>
        <v>204.12</v>
      </c>
      <c r="K10" s="17">
        <f>34.05+24.3+2776+600</f>
        <v>3434.35</v>
      </c>
      <c r="L10" s="24">
        <f>450+24.3+252.88</f>
        <v>727.18</v>
      </c>
      <c r="M10" s="4">
        <f>38.88+150+60</f>
        <v>248.88</v>
      </c>
      <c r="N10" s="4">
        <f>56.7+68.04+200+499.39</f>
        <v>824.13</v>
      </c>
      <c r="O10" s="5">
        <f t="shared" si="1"/>
        <v>9493.69</v>
      </c>
      <c r="P10" s="23"/>
      <c r="Q10" s="6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ht="12.75" customHeight="1">
      <c r="A11" s="2"/>
      <c r="B11" s="20" t="s">
        <v>21</v>
      </c>
      <c r="C11" s="21">
        <f>3200+1900</f>
        <v>5100</v>
      </c>
      <c r="D11" s="17">
        <f>3890+200+1350+100+500+100+100</f>
        <v>6240</v>
      </c>
      <c r="E11" s="17">
        <f>100+115+7800+7600+95.45</f>
        <v>15710.45</v>
      </c>
      <c r="F11" s="17">
        <f>2100</f>
        <v>2100</v>
      </c>
      <c r="G11" s="17">
        <f>4900+5480+3000+3000</f>
        <v>16380</v>
      </c>
      <c r="H11" s="17">
        <f>10+10+150+4500+4000</f>
        <v>8670</v>
      </c>
      <c r="I11" s="17">
        <f>50+4270+4500</f>
        <v>8820</v>
      </c>
      <c r="J11" s="17">
        <f>10+100+7800+11200+10</f>
        <v>19120</v>
      </c>
      <c r="K11" s="17">
        <f>100+8000+9000</f>
        <v>17100</v>
      </c>
      <c r="L11" s="4">
        <f>100+100+10+10+150+100+7000+10</f>
        <v>7480</v>
      </c>
      <c r="M11" s="4">
        <f>100+60+7000+5800</f>
        <v>12960</v>
      </c>
      <c r="N11" s="4">
        <f>300+100+20</f>
        <v>420</v>
      </c>
      <c r="O11" s="5">
        <f t="shared" si="1"/>
        <v>120100.45</v>
      </c>
      <c r="P11" s="23"/>
      <c r="Q11" s="6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ht="12.75" customHeight="1">
      <c r="A12" s="2"/>
      <c r="B12" s="20" t="s">
        <v>22</v>
      </c>
      <c r="C12" s="21">
        <f>450+1833.33+733.33+100+1200</f>
        <v>4316.66</v>
      </c>
      <c r="D12" s="22">
        <f>230+240+100</f>
        <v>570</v>
      </c>
      <c r="E12" s="22">
        <f>700+530+233.33+225</f>
        <v>1688.33</v>
      </c>
      <c r="F12" s="22">
        <f>466.66+450+1650</f>
        <v>2566.66</v>
      </c>
      <c r="G12" s="22">
        <f>100+400</f>
        <v>500</v>
      </c>
      <c r="H12" s="22">
        <f>400</f>
        <v>400</v>
      </c>
      <c r="I12" s="22">
        <f>+100+100+100+100+280</f>
        <v>680</v>
      </c>
      <c r="J12" s="22">
        <f>100+500+200+100+520+612</f>
        <v>2032</v>
      </c>
      <c r="K12" s="22">
        <f>100+400+100+100+3000+100+100+450+2000</f>
        <v>6350</v>
      </c>
      <c r="L12" s="24">
        <v>3000.0</v>
      </c>
      <c r="M12" s="24">
        <f>100+100+3000</f>
        <v>3200</v>
      </c>
      <c r="N12" s="4">
        <f>600+650+3000+800</f>
        <v>5050</v>
      </c>
      <c r="O12" s="5">
        <f t="shared" si="1"/>
        <v>30353.65</v>
      </c>
      <c r="P12" s="23"/>
      <c r="Q12" s="6"/>
      <c r="R12" s="25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ht="12.75" customHeight="1">
      <c r="A13" s="2"/>
      <c r="B13" s="20" t="s">
        <v>23</v>
      </c>
      <c r="C13" s="21"/>
      <c r="D13" s="17"/>
      <c r="E13" s="17"/>
      <c r="F13" s="17"/>
      <c r="G13" s="17"/>
      <c r="H13" s="17"/>
      <c r="I13" s="17"/>
      <c r="J13" s="17"/>
      <c r="K13" s="17"/>
      <c r="L13" s="4"/>
      <c r="M13" s="4"/>
      <c r="N13" s="4"/>
      <c r="O13" s="5">
        <f t="shared" si="1"/>
        <v>0</v>
      </c>
      <c r="P13" s="18"/>
      <c r="Q13" s="26"/>
      <c r="R13" s="25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ht="12.75" customHeight="1">
      <c r="A14" s="2"/>
      <c r="B14" s="20" t="s">
        <v>24</v>
      </c>
      <c r="C14" s="21"/>
      <c r="D14" s="17"/>
      <c r="E14" s="22">
        <v>100.0</v>
      </c>
      <c r="F14" s="22">
        <v>1000.0</v>
      </c>
      <c r="G14" s="17"/>
      <c r="H14" s="22">
        <v>1000.0</v>
      </c>
      <c r="I14" s="17"/>
      <c r="J14" s="22">
        <v>16000.0</v>
      </c>
      <c r="K14" s="17"/>
      <c r="L14" s="4"/>
      <c r="M14" s="4"/>
      <c r="N14" s="24">
        <v>4000.0</v>
      </c>
      <c r="O14" s="5">
        <f t="shared" si="1"/>
        <v>22100</v>
      </c>
      <c r="P14" s="23"/>
      <c r="Q14" s="6"/>
      <c r="R14" s="25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ht="12.75" customHeight="1">
      <c r="A15" s="2"/>
      <c r="B15" s="20" t="s">
        <v>25</v>
      </c>
      <c r="C15" s="21"/>
      <c r="D15" s="22"/>
      <c r="E15" s="22"/>
      <c r="F15" s="22"/>
      <c r="G15" s="22"/>
      <c r="H15" s="22"/>
      <c r="I15" s="22"/>
      <c r="J15" s="22"/>
      <c r="K15" s="22"/>
      <c r="L15" s="4"/>
      <c r="M15" s="24">
        <v>16213.23</v>
      </c>
      <c r="N15" s="4"/>
      <c r="O15" s="5">
        <f t="shared" si="1"/>
        <v>16213.23</v>
      </c>
      <c r="P15" s="1"/>
      <c r="Q15" s="6"/>
      <c r="R15" s="25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ht="12.75" customHeight="1">
      <c r="A16" s="27"/>
      <c r="B16" s="20" t="s">
        <v>26</v>
      </c>
      <c r="C16" s="21">
        <f>20.57+2883.96</f>
        <v>2904.53</v>
      </c>
      <c r="D16" s="22">
        <f>19.71+1978.76</f>
        <v>1998.47</v>
      </c>
      <c r="E16" s="22">
        <f>23.02+1880.03</f>
        <v>1903.05</v>
      </c>
      <c r="F16" s="22">
        <f>21.13+1883.64</f>
        <v>1904.77</v>
      </c>
      <c r="G16" s="22">
        <f>22.37+456.6</f>
        <v>478.97</v>
      </c>
      <c r="H16" s="22">
        <f>23.67+1962.21</f>
        <v>1985.88</v>
      </c>
      <c r="I16" s="22">
        <f>22.8+1860.63</f>
        <v>1883.43</v>
      </c>
      <c r="J16" s="22">
        <f>25.23+2032.97</f>
        <v>2058.2</v>
      </c>
      <c r="K16" s="22">
        <f>23.25+1865.52</f>
        <v>1888.77</v>
      </c>
      <c r="L16" s="24">
        <f>22.21+1791.18</f>
        <v>1813.39</v>
      </c>
      <c r="M16" s="24">
        <f>22.17+255.79</f>
        <v>277.96</v>
      </c>
      <c r="N16" s="24">
        <f>24.2+2132.97</f>
        <v>2157.17</v>
      </c>
      <c r="O16" s="5">
        <f t="shared" si="1"/>
        <v>21254.59</v>
      </c>
      <c r="P16" s="18"/>
      <c r="Q16" s="26"/>
      <c r="R16" s="25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ht="12.75" customHeight="1">
      <c r="A17" s="27" t="s">
        <v>27</v>
      </c>
      <c r="B17" s="20"/>
      <c r="C17" s="21"/>
      <c r="D17" s="17"/>
      <c r="E17" s="17"/>
      <c r="F17" s="17"/>
      <c r="G17" s="17"/>
      <c r="H17" s="17"/>
      <c r="I17" s="17"/>
      <c r="J17" s="17"/>
      <c r="K17" s="17"/>
      <c r="L17" s="4"/>
      <c r="M17" s="4"/>
      <c r="N17" s="4"/>
      <c r="O17" s="5">
        <f t="shared" si="1"/>
        <v>0</v>
      </c>
      <c r="P17" s="18"/>
      <c r="Q17" s="26"/>
      <c r="R17" s="25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ht="12.75" customHeight="1">
      <c r="A18" s="2"/>
      <c r="B18" s="20" t="s">
        <v>28</v>
      </c>
      <c r="C18" s="21"/>
      <c r="D18" s="17"/>
      <c r="E18" s="17"/>
      <c r="F18" s="17"/>
      <c r="G18" s="17"/>
      <c r="H18" s="17"/>
      <c r="I18" s="17"/>
      <c r="J18" s="17"/>
      <c r="K18" s="17"/>
      <c r="L18" s="4"/>
      <c r="M18" s="4"/>
      <c r="N18" s="4"/>
      <c r="O18" s="5">
        <f t="shared" si="1"/>
        <v>0</v>
      </c>
      <c r="P18" s="18"/>
      <c r="Q18" s="28"/>
      <c r="R18" s="25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ht="12.75" customHeight="1">
      <c r="A19" s="2"/>
      <c r="B19" s="20" t="s">
        <v>29</v>
      </c>
      <c r="C19" s="21"/>
      <c r="D19" s="22">
        <v>600.0</v>
      </c>
      <c r="E19" s="17"/>
      <c r="F19" s="17"/>
      <c r="G19" s="17"/>
      <c r="H19" s="17"/>
      <c r="I19" s="17"/>
      <c r="J19" s="17"/>
      <c r="K19" s="17"/>
      <c r="L19" s="24">
        <v>10000.0</v>
      </c>
      <c r="M19" s="4">
        <f>0.4+0.31</f>
        <v>0.71</v>
      </c>
      <c r="N19" s="24">
        <v>7500.0</v>
      </c>
      <c r="O19" s="5">
        <f t="shared" si="1"/>
        <v>18100.71</v>
      </c>
      <c r="P19" s="18"/>
      <c r="Q19" s="28"/>
      <c r="R19" s="25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ht="12.75" customHeight="1">
      <c r="A20" s="2"/>
      <c r="B20" s="20" t="s">
        <v>30</v>
      </c>
      <c r="C20" s="21"/>
      <c r="D20" s="17"/>
      <c r="E20" s="17"/>
      <c r="F20" s="17"/>
      <c r="G20" s="17"/>
      <c r="H20" s="17"/>
      <c r="I20" s="17"/>
      <c r="J20" s="17"/>
      <c r="K20" s="17"/>
      <c r="L20" s="4"/>
      <c r="M20" s="4"/>
      <c r="N20" s="4"/>
      <c r="O20" s="5">
        <f t="shared" si="1"/>
        <v>0</v>
      </c>
      <c r="P20" s="18"/>
      <c r="Q20" s="28"/>
      <c r="R20" s="25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ht="12.75" customHeight="1">
      <c r="A21" s="2"/>
      <c r="B21" s="20" t="s">
        <v>31</v>
      </c>
      <c r="C21" s="21"/>
      <c r="D21" s="17"/>
      <c r="E21" s="17"/>
      <c r="F21" s="17"/>
      <c r="G21" s="17"/>
      <c r="H21" s="17"/>
      <c r="I21" s="17"/>
      <c r="J21" s="17"/>
      <c r="K21" s="17">
        <f>48.65+729.75+48.65</f>
        <v>827.05</v>
      </c>
      <c r="L21" s="4">
        <f>47.5+192+912</f>
        <v>1151.5</v>
      </c>
      <c r="M21" s="4"/>
      <c r="N21" s="4"/>
      <c r="O21" s="5">
        <f t="shared" si="1"/>
        <v>1978.55</v>
      </c>
      <c r="P21" s="29"/>
      <c r="Q21" s="28"/>
      <c r="R21" s="25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ht="12.75" customHeight="1">
      <c r="A22" s="2"/>
      <c r="B22" s="20" t="s">
        <v>32</v>
      </c>
      <c r="C22" s="21"/>
      <c r="D22" s="22"/>
      <c r="E22" s="22"/>
      <c r="F22" s="22"/>
      <c r="G22" s="22"/>
      <c r="H22" s="22"/>
      <c r="I22" s="22"/>
      <c r="J22" s="22"/>
      <c r="K22" s="22"/>
      <c r="L22" s="4"/>
      <c r="M22" s="4"/>
      <c r="N22" s="4"/>
      <c r="O22" s="5">
        <f t="shared" si="1"/>
        <v>0</v>
      </c>
      <c r="P22" s="18"/>
      <c r="Q22" s="28"/>
      <c r="R22" s="25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ht="12.75" customHeight="1">
      <c r="A23" s="2"/>
      <c r="B23" s="20" t="s">
        <v>33</v>
      </c>
      <c r="C23" s="21"/>
      <c r="D23" s="22"/>
      <c r="E23" s="22"/>
      <c r="F23" s="22"/>
      <c r="G23" s="22"/>
      <c r="H23" s="22"/>
      <c r="I23" s="22"/>
      <c r="J23" s="22"/>
      <c r="K23" s="22"/>
      <c r="L23" s="4"/>
      <c r="M23" s="4"/>
      <c r="N23" s="4"/>
      <c r="O23" s="5">
        <f t="shared" si="1"/>
        <v>0</v>
      </c>
      <c r="P23" s="18"/>
      <c r="Q23" s="26"/>
      <c r="R23" s="25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ht="12.75" customHeight="1">
      <c r="A24" s="2"/>
      <c r="B24" s="20" t="s">
        <v>34</v>
      </c>
      <c r="C24" s="21">
        <f>105.4+282.66+36.41+126.49</f>
        <v>550.96</v>
      </c>
      <c r="D24" s="22"/>
      <c r="E24" s="30">
        <f>1368.5+1455</f>
        <v>2823.5</v>
      </c>
      <c r="F24" s="22"/>
      <c r="G24" s="30">
        <f>505.54+182.78+2177+4000+200</f>
        <v>7065.32</v>
      </c>
      <c r="H24" s="30">
        <f>285.77+402.43+177.27+140.86+124.57+175.35+43.12</f>
        <v>1349.37</v>
      </c>
      <c r="I24" s="22">
        <f>2000+23.27+42.78+90.41+286.5+171.1</f>
        <v>2614.06</v>
      </c>
      <c r="J24" s="22">
        <f>489.89+471.38+197.84+280.57</f>
        <v>1439.68</v>
      </c>
      <c r="K24" s="22">
        <f>757+71.34+23.78+56.12+23.78+53.51+43.78</f>
        <v>1029.31</v>
      </c>
      <c r="L24" s="4">
        <f>127.46+47.56+4.86+103.14+53.51+30.72+102.16+1.92+34.05+35.03+116.76+111.9+87.57+34.05</f>
        <v>890.69</v>
      </c>
      <c r="M24" s="4">
        <f>7.78+35.03+166.38+481.3+71.34+23.78+56.12+23.78+70.06+87.57+58.38+81.6+29.19+59.35+80.76+29.53+33.6</f>
        <v>1395.55</v>
      </c>
      <c r="N24" s="4">
        <f>214.08+29.19+31.14+526+77.84+110.15+29.19+252.01+23.35+60.33+130.38</f>
        <v>1483.66</v>
      </c>
      <c r="O24" s="5">
        <f t="shared" si="1"/>
        <v>20642.1</v>
      </c>
      <c r="P24" s="29"/>
      <c r="Q24" s="28"/>
      <c r="R24" s="25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ht="12.75" customHeight="1">
      <c r="A25" s="2"/>
      <c r="B25" s="20" t="s">
        <v>35</v>
      </c>
      <c r="C25" s="21"/>
      <c r="D25" s="22"/>
      <c r="E25" s="30"/>
      <c r="F25" s="22"/>
      <c r="G25" s="30"/>
      <c r="H25" s="30"/>
      <c r="I25" s="22"/>
      <c r="J25" s="22"/>
      <c r="K25" s="22"/>
      <c r="L25" s="4"/>
      <c r="M25" s="4"/>
      <c r="N25" s="4"/>
      <c r="O25" s="5">
        <f t="shared" si="1"/>
        <v>0</v>
      </c>
      <c r="P25" s="18"/>
      <c r="Q25" s="26"/>
      <c r="R25" s="25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ht="12.75" customHeight="1">
      <c r="A26" s="2"/>
      <c r="B26" s="20" t="s">
        <v>36</v>
      </c>
      <c r="C26" s="21"/>
      <c r="D26" s="22"/>
      <c r="E26" s="22"/>
      <c r="F26" s="22"/>
      <c r="G26" s="30"/>
      <c r="H26" s="30"/>
      <c r="I26" s="22"/>
      <c r="J26" s="22"/>
      <c r="K26" s="22"/>
      <c r="L26" s="4"/>
      <c r="M26" s="4"/>
      <c r="N26" s="4"/>
      <c r="O26" s="5">
        <f t="shared" si="1"/>
        <v>0</v>
      </c>
      <c r="P26" s="18"/>
      <c r="Q26" s="26"/>
      <c r="R26" s="25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ht="12.75" customHeight="1">
      <c r="A27" s="2"/>
      <c r="B27" s="20" t="s">
        <v>37</v>
      </c>
      <c r="C27" s="21">
        <f>489.17</f>
        <v>489.17</v>
      </c>
      <c r="D27" s="22"/>
      <c r="E27" s="22"/>
      <c r="F27" s="22"/>
      <c r="G27" s="31">
        <f>336+280+224+756+336+672+28+756+448+336+476+448+224+420+1120+126</f>
        <v>6986</v>
      </c>
      <c r="H27" s="30">
        <f>1120+1606.5+280+34.05+102.16+250</f>
        <v>3392.71</v>
      </c>
      <c r="I27" s="22">
        <f>3815+67.2</f>
        <v>3882.2</v>
      </c>
      <c r="J27" s="22"/>
      <c r="K27" s="22"/>
      <c r="L27" s="4"/>
      <c r="M27" s="4"/>
      <c r="N27" s="4"/>
      <c r="O27" s="5">
        <f t="shared" si="1"/>
        <v>14750.08</v>
      </c>
      <c r="P27" s="29"/>
      <c r="Q27" s="28"/>
      <c r="R27" s="25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ht="12.75" customHeight="1">
      <c r="A28" s="2"/>
      <c r="B28" s="20" t="s">
        <v>38</v>
      </c>
      <c r="C28" s="21"/>
      <c r="D28" s="22"/>
      <c r="E28" s="22"/>
      <c r="F28" s="22"/>
      <c r="G28" s="30"/>
      <c r="H28" s="30"/>
      <c r="I28" s="22"/>
      <c r="J28" s="22"/>
      <c r="K28" s="22"/>
      <c r="L28" s="4"/>
      <c r="M28" s="4"/>
      <c r="N28" s="4"/>
      <c r="O28" s="5">
        <f t="shared" si="1"/>
        <v>0</v>
      </c>
      <c r="P28" s="18"/>
      <c r="Q28" s="28"/>
      <c r="R28" s="25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ht="12.75" customHeight="1">
      <c r="A29" s="2"/>
      <c r="B29" s="20" t="s">
        <v>39</v>
      </c>
      <c r="C29" s="21"/>
      <c r="D29" s="22"/>
      <c r="E29" s="22"/>
      <c r="F29" s="22">
        <v>100.0</v>
      </c>
      <c r="G29" s="22"/>
      <c r="H29" s="30">
        <f>1000+306.46+2079.12+2393.38+398.89+2687.72+1751.23+559.43+586.69+3346.47+2574.41+2692.08+3235.03+1000</f>
        <v>24610.91</v>
      </c>
      <c r="I29" s="22">
        <f>33.6+181.9+1922.58+3835.57+8943.29+10352.03</f>
        <v>25268.97</v>
      </c>
      <c r="J29" s="22">
        <f>233.88+368.47+190.12+71.25+277.36+325.12+135</f>
        <v>1601.2</v>
      </c>
      <c r="K29" s="22">
        <f>247+190+229.74+71.25+325.12+214.1</f>
        <v>1277.21</v>
      </c>
      <c r="L29" s="24">
        <f>104.5+303.93</f>
        <v>408.43</v>
      </c>
      <c r="M29" s="4"/>
      <c r="N29" s="4"/>
      <c r="O29" s="5">
        <f t="shared" si="1"/>
        <v>53266.72</v>
      </c>
      <c r="P29" s="28"/>
      <c r="Q29" s="28"/>
      <c r="R29" s="25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ht="12.75" customHeight="1">
      <c r="A30" s="2"/>
      <c r="B30" s="20" t="s">
        <v>40</v>
      </c>
      <c r="C30" s="21"/>
      <c r="D30" s="17"/>
      <c r="E30" s="17"/>
      <c r="F30" s="17"/>
      <c r="G30" s="22"/>
      <c r="H30" s="30"/>
      <c r="I30" s="22">
        <f>92.44+258.82+307.46+517.62+698.62+227.78</f>
        <v>2102.74</v>
      </c>
      <c r="J30" s="17">
        <f>1352.24+1084.16</f>
        <v>2436.4</v>
      </c>
      <c r="K30" s="17">
        <f>96.54+47.5+102.87</f>
        <v>246.91</v>
      </c>
      <c r="L30" s="4">
        <f>62.46+48.92</f>
        <v>111.38</v>
      </c>
      <c r="M30" s="4"/>
      <c r="N30" s="4"/>
      <c r="O30" s="5">
        <f t="shared" si="1"/>
        <v>4897.43</v>
      </c>
      <c r="P30" s="28"/>
      <c r="Q30" s="28"/>
      <c r="R30" s="25"/>
      <c r="S30" s="25"/>
      <c r="T30" s="25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ht="12.75" customHeight="1">
      <c r="A31" s="2"/>
      <c r="B31" s="20" t="s">
        <v>41</v>
      </c>
      <c r="C31" s="21"/>
      <c r="D31" s="17"/>
      <c r="E31" s="17"/>
      <c r="F31" s="17"/>
      <c r="G31" s="22"/>
      <c r="H31" s="30"/>
      <c r="I31" s="22"/>
      <c r="J31" s="22">
        <f>14.59+95.25+77.84+126.48</f>
        <v>314.16</v>
      </c>
      <c r="K31" s="17">
        <f>95.25+107.25+103.68</f>
        <v>306.18</v>
      </c>
      <c r="L31" s="24">
        <v>28.53</v>
      </c>
      <c r="M31" s="4"/>
      <c r="N31" s="4"/>
      <c r="O31" s="5">
        <f t="shared" si="1"/>
        <v>648.87</v>
      </c>
      <c r="P31" s="28"/>
      <c r="Q31" s="28"/>
      <c r="R31" s="25"/>
      <c r="S31" s="25"/>
      <c r="T31" s="25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ht="12.75" customHeight="1">
      <c r="A32" s="2"/>
      <c r="B32" s="20" t="s">
        <v>42</v>
      </c>
      <c r="C32" s="21"/>
      <c r="D32" s="17"/>
      <c r="E32" s="17"/>
      <c r="F32" s="17"/>
      <c r="G32" s="22"/>
      <c r="H32" s="30"/>
      <c r="I32" s="22">
        <v>95.0</v>
      </c>
      <c r="J32" s="22">
        <v>95.0</v>
      </c>
      <c r="K32" s="17">
        <f>95+31.75</f>
        <v>126.75</v>
      </c>
      <c r="L32" s="32">
        <v>531.25</v>
      </c>
      <c r="M32" s="32">
        <f>429.26+537.82</f>
        <v>967.08</v>
      </c>
      <c r="N32" s="4"/>
      <c r="O32" s="5">
        <f t="shared" si="1"/>
        <v>1815.08</v>
      </c>
      <c r="P32" s="28"/>
      <c r="Q32" s="28"/>
      <c r="R32" s="25"/>
      <c r="S32" s="25"/>
      <c r="T32" s="25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ht="12.75" customHeight="1">
      <c r="A33" s="2"/>
      <c r="B33" s="20" t="s">
        <v>43</v>
      </c>
      <c r="C33" s="21"/>
      <c r="D33" s="17"/>
      <c r="E33" s="17"/>
      <c r="F33" s="17"/>
      <c r="G33" s="22"/>
      <c r="H33" s="30"/>
      <c r="I33" s="22"/>
      <c r="J33" s="22"/>
      <c r="K33" s="17">
        <f>205.98+302.61+893.31+1289.22+279.25+96.82</f>
        <v>3067.19</v>
      </c>
      <c r="L33" s="4">
        <f>86.96+1194.91+1117.37+472.41</f>
        <v>2871.65</v>
      </c>
      <c r="M33" s="4">
        <f>50.48+50.48+49.53</f>
        <v>150.49</v>
      </c>
      <c r="N33" s="4"/>
      <c r="O33" s="5">
        <f t="shared" si="1"/>
        <v>6089.33</v>
      </c>
      <c r="P33" s="28"/>
      <c r="Q33" s="28"/>
      <c r="R33" s="25"/>
      <c r="S33" s="25"/>
      <c r="T33" s="25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ht="12.75" customHeight="1">
      <c r="A34" s="2"/>
      <c r="B34" s="20" t="s">
        <v>44</v>
      </c>
      <c r="C34" s="21"/>
      <c r="D34" s="17"/>
      <c r="E34" s="17"/>
      <c r="F34" s="17"/>
      <c r="G34" s="22"/>
      <c r="H34" s="30"/>
      <c r="I34" s="22"/>
      <c r="J34" s="22"/>
      <c r="K34" s="17"/>
      <c r="L34" s="24">
        <f>180+220+12045.01+440</f>
        <v>12885.01</v>
      </c>
      <c r="M34" s="4">
        <f>110+110+110+110+102.16+189.73+100.22+372.65+148.86+917.43+709.18+2150</f>
        <v>5130.23</v>
      </c>
      <c r="N34" s="4">
        <f>61.44+920.64+1317.98</f>
        <v>2300.06</v>
      </c>
      <c r="O34" s="5">
        <f t="shared" si="1"/>
        <v>20315.3</v>
      </c>
      <c r="P34" s="28"/>
      <c r="Q34" s="28"/>
      <c r="R34" s="25"/>
      <c r="S34" s="25"/>
      <c r="T34" s="25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ht="12.75" customHeight="1">
      <c r="A35" s="2"/>
      <c r="B35" s="20" t="s">
        <v>45</v>
      </c>
      <c r="C35" s="21"/>
      <c r="D35" s="17"/>
      <c r="E35" s="17"/>
      <c r="F35" s="17"/>
      <c r="G35" s="33"/>
      <c r="H35" s="30"/>
      <c r="I35" s="22"/>
      <c r="J35" s="22"/>
      <c r="K35" s="17"/>
      <c r="L35" s="4">
        <f>29.18+334.7+245+197.51</f>
        <v>806.39</v>
      </c>
      <c r="M35" s="4">
        <f>180.48+90.24+165+204.04</f>
        <v>639.76</v>
      </c>
      <c r="N35" s="4"/>
      <c r="O35" s="5">
        <f t="shared" si="1"/>
        <v>1446.15</v>
      </c>
      <c r="P35" s="28"/>
      <c r="Q35" s="28"/>
      <c r="R35" s="25"/>
      <c r="S35" s="25"/>
      <c r="T35" s="25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ht="12.75" customHeight="1">
      <c r="A36" s="2"/>
      <c r="B36" s="20" t="s">
        <v>46</v>
      </c>
      <c r="C36" s="21"/>
      <c r="D36" s="17"/>
      <c r="E36" s="17"/>
      <c r="F36" s="17"/>
      <c r="G36" s="22"/>
      <c r="H36" s="30"/>
      <c r="I36" s="22"/>
      <c r="J36" s="22"/>
      <c r="K36" s="17"/>
      <c r="L36" s="4"/>
      <c r="M36" s="24">
        <v>1152.1</v>
      </c>
      <c r="N36" s="4"/>
      <c r="O36" s="5">
        <f t="shared" si="1"/>
        <v>1152.1</v>
      </c>
      <c r="P36" s="28"/>
      <c r="Q36" s="28"/>
      <c r="R36" s="25"/>
      <c r="S36" s="25"/>
      <c r="T36" s="25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ht="12.75" customHeight="1">
      <c r="A37" s="2"/>
      <c r="B37" s="20" t="s">
        <v>47</v>
      </c>
      <c r="C37" s="21"/>
      <c r="D37" s="17"/>
      <c r="E37" s="17"/>
      <c r="F37" s="17"/>
      <c r="G37" s="22"/>
      <c r="H37" s="30"/>
      <c r="I37" s="22"/>
      <c r="J37" s="22"/>
      <c r="K37" s="17"/>
      <c r="L37" s="4"/>
      <c r="M37" s="4">
        <f>43.78+259.2+114.71+237.32+217.92+266.6+349.69</f>
        <v>1489.22</v>
      </c>
      <c r="N37" s="34">
        <f>103.53+148.8</f>
        <v>252.33</v>
      </c>
      <c r="O37" s="5">
        <f t="shared" si="1"/>
        <v>1741.55</v>
      </c>
      <c r="P37" s="28"/>
      <c r="Q37" s="28"/>
      <c r="R37" s="25"/>
      <c r="S37" s="25"/>
      <c r="T37" s="25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ht="12.75" customHeight="1">
      <c r="A38" s="2"/>
      <c r="B38" s="20" t="s">
        <v>48</v>
      </c>
      <c r="C38" s="21"/>
      <c r="D38" s="17"/>
      <c r="E38" s="17"/>
      <c r="F38" s="17"/>
      <c r="G38" s="22">
        <f>606.17+295.78</f>
        <v>901.95</v>
      </c>
      <c r="H38" s="30">
        <f>361.88+712.78</f>
        <v>1074.66</v>
      </c>
      <c r="I38" s="22"/>
      <c r="J38" s="22"/>
      <c r="K38" s="17"/>
      <c r="L38" s="4"/>
      <c r="M38" s="4"/>
      <c r="N38" s="24">
        <f>600+29.53+15.36</f>
        <v>644.89</v>
      </c>
      <c r="O38" s="5">
        <f t="shared" si="1"/>
        <v>2621.5</v>
      </c>
      <c r="P38" s="28"/>
      <c r="Q38" s="28"/>
      <c r="R38" s="25"/>
      <c r="S38" s="25"/>
      <c r="T38" s="25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ht="12.75" customHeight="1">
      <c r="A39" s="2"/>
      <c r="B39" s="35"/>
      <c r="C39" s="36"/>
      <c r="D39" s="17"/>
      <c r="E39" s="17"/>
      <c r="F39" s="17"/>
      <c r="G39" s="17"/>
      <c r="H39" s="17"/>
      <c r="I39" s="17"/>
      <c r="J39" s="17"/>
      <c r="K39" s="17"/>
      <c r="L39" s="4"/>
      <c r="M39" s="4"/>
      <c r="N39" s="4"/>
      <c r="O39" s="5"/>
      <c r="P39" s="18"/>
      <c r="Q39" s="26"/>
      <c r="R39" s="25"/>
      <c r="S39" s="25"/>
      <c r="T39" s="25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ht="12.75" customHeight="1">
      <c r="A40" s="37"/>
      <c r="B40" s="38" t="s">
        <v>14</v>
      </c>
      <c r="C40" s="39">
        <f>SUM(C7:C38)</f>
        <v>18940.16</v>
      </c>
      <c r="D40" s="40">
        <f t="shared" ref="D40:L40" si="2">SUM(D7:D39)</f>
        <v>13935.18</v>
      </c>
      <c r="E40" s="40">
        <f t="shared" si="2"/>
        <v>27688.64</v>
      </c>
      <c r="F40" s="40">
        <f t="shared" si="2"/>
        <v>11228.67</v>
      </c>
      <c r="G40" s="40">
        <f t="shared" si="2"/>
        <v>41318.79</v>
      </c>
      <c r="H40" s="40">
        <f t="shared" si="2"/>
        <v>45686.4</v>
      </c>
      <c r="I40" s="40">
        <f t="shared" si="2"/>
        <v>47113.56</v>
      </c>
      <c r="J40" s="40">
        <f t="shared" si="2"/>
        <v>54013.42</v>
      </c>
      <c r="K40" s="40">
        <f t="shared" si="2"/>
        <v>40528.72</v>
      </c>
      <c r="L40" s="40">
        <f t="shared" si="2"/>
        <v>50306.32</v>
      </c>
      <c r="M40" s="40">
        <f t="shared" ref="M40:O40" si="3">SUM(M7:M38)</f>
        <v>47676.41</v>
      </c>
      <c r="N40" s="40">
        <f t="shared" si="3"/>
        <v>25857.05</v>
      </c>
      <c r="O40" s="40">
        <f t="shared" si="3"/>
        <v>424293.32</v>
      </c>
      <c r="P40" s="41"/>
      <c r="Q40" s="42"/>
      <c r="R40" s="43"/>
      <c r="S40" s="44"/>
      <c r="T40" s="44"/>
      <c r="U40" s="45"/>
      <c r="V40" s="45"/>
      <c r="W40" s="45"/>
      <c r="X40" s="45"/>
      <c r="Y40" s="45"/>
      <c r="Z40" s="45"/>
      <c r="AA40" s="45"/>
      <c r="AB40" s="45"/>
      <c r="AC40" s="45"/>
      <c r="AD40" s="45"/>
    </row>
    <row r="41" ht="12.75" customHeight="1">
      <c r="A41" s="2"/>
      <c r="B41" s="2"/>
      <c r="C41" s="46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47"/>
      <c r="P41" s="2"/>
      <c r="Q41" s="48"/>
      <c r="R41" s="25"/>
      <c r="S41" s="25"/>
      <c r="T41" s="25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ht="12.75" customHeight="1">
      <c r="A42" s="15" t="s">
        <v>49</v>
      </c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2"/>
      <c r="Q42" s="28"/>
      <c r="R42" s="25"/>
      <c r="S42" s="25"/>
      <c r="T42" s="25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ht="12.75" customHeight="1">
      <c r="A43" s="27" t="s">
        <v>50</v>
      </c>
      <c r="B43" s="49"/>
      <c r="C43" s="36"/>
      <c r="D43" s="24"/>
      <c r="E43" s="24"/>
      <c r="F43" s="24"/>
      <c r="G43" s="24"/>
      <c r="H43" s="24"/>
      <c r="I43" s="24"/>
      <c r="J43" s="24"/>
      <c r="K43" s="24"/>
      <c r="L43" s="4"/>
      <c r="M43" s="4"/>
      <c r="N43" s="4"/>
      <c r="O43" s="5"/>
      <c r="P43" s="2"/>
      <c r="Q43" s="28"/>
      <c r="R43" s="25"/>
      <c r="S43" s="25"/>
      <c r="T43" s="25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ht="12.75" customHeight="1">
      <c r="A44" s="2"/>
      <c r="B44" s="50" t="s">
        <v>51</v>
      </c>
      <c r="C44" s="21"/>
      <c r="D44" s="22"/>
      <c r="E44" s="24"/>
      <c r="F44" s="24"/>
      <c r="G44" s="22"/>
      <c r="H44" s="24"/>
      <c r="I44" s="24">
        <f>273+79.6+99.51+99.51</f>
        <v>551.62</v>
      </c>
      <c r="J44" s="24"/>
      <c r="K44" s="22">
        <v>647.56</v>
      </c>
      <c r="L44" s="22">
        <f>661.61+39.8+99.51+99.51</f>
        <v>900.43</v>
      </c>
      <c r="M44" s="17"/>
      <c r="N44" s="17"/>
      <c r="O44" s="51">
        <f t="shared" ref="O44:O92" si="4">SUM(C44:N44)</f>
        <v>2099.61</v>
      </c>
      <c r="P44" s="49"/>
      <c r="Q44" s="28"/>
      <c r="R44" s="25"/>
      <c r="S44" s="25"/>
      <c r="T44" s="25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ht="12.75" customHeight="1">
      <c r="A45" s="2"/>
      <c r="B45" s="49" t="s">
        <v>52</v>
      </c>
      <c r="C45" s="21">
        <v>1063.8</v>
      </c>
      <c r="D45" s="17">
        <f>1387.8</f>
        <v>1387.8</v>
      </c>
      <c r="E45" s="22">
        <v>1008.0</v>
      </c>
      <c r="F45" s="22">
        <v>1129.4</v>
      </c>
      <c r="G45" s="52">
        <v>1164.8</v>
      </c>
      <c r="H45" s="17"/>
      <c r="I45" s="17"/>
      <c r="J45" s="17"/>
      <c r="K45" s="17"/>
      <c r="L45" s="22"/>
      <c r="M45" s="22"/>
      <c r="N45" s="17"/>
      <c r="O45" s="5">
        <f t="shared" si="4"/>
        <v>5753.8</v>
      </c>
      <c r="P45" s="49"/>
      <c r="Q45" s="28"/>
      <c r="R45" s="28"/>
      <c r="S45" s="25"/>
      <c r="T45" s="25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ht="12.75" customHeight="1">
      <c r="A46" s="2"/>
      <c r="B46" s="49" t="s">
        <v>53</v>
      </c>
      <c r="C46" s="21">
        <f>280+266</f>
        <v>546</v>
      </c>
      <c r="D46" s="17"/>
      <c r="E46" s="34">
        <v>337.43</v>
      </c>
      <c r="F46" s="34">
        <v>337.43</v>
      </c>
      <c r="G46" s="52">
        <v>289.22</v>
      </c>
      <c r="H46" s="17"/>
      <c r="I46" s="34"/>
      <c r="J46" s="17"/>
      <c r="K46" s="52"/>
      <c r="L46" s="52"/>
      <c r="M46" s="52"/>
      <c r="N46" s="52"/>
      <c r="O46" s="5">
        <f t="shared" si="4"/>
        <v>1510.08</v>
      </c>
      <c r="P46" s="49"/>
      <c r="Q46" s="28"/>
      <c r="R46" s="28"/>
      <c r="S46" s="25"/>
      <c r="T46" s="25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ht="12.75" customHeight="1">
      <c r="A47" s="2"/>
      <c r="B47" s="49" t="s">
        <v>54</v>
      </c>
      <c r="C47" s="21"/>
      <c r="D47" s="17"/>
      <c r="E47" s="17"/>
      <c r="F47" s="17"/>
      <c r="G47" s="17"/>
      <c r="H47" s="17">
        <f>791.11+2053.2</f>
        <v>2844.31</v>
      </c>
      <c r="I47" s="34"/>
      <c r="J47" s="17"/>
      <c r="K47" s="52"/>
      <c r="L47" s="52"/>
      <c r="M47" s="52"/>
      <c r="N47" s="52"/>
      <c r="O47" s="5">
        <f t="shared" si="4"/>
        <v>2844.31</v>
      </c>
      <c r="P47" s="49"/>
      <c r="Q47" s="28"/>
      <c r="R47" s="28"/>
      <c r="S47" s="25"/>
      <c r="T47" s="25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ht="12.75" customHeight="1">
      <c r="A48" s="2"/>
      <c r="B48" s="49" t="s">
        <v>55</v>
      </c>
      <c r="C48" s="21"/>
      <c r="D48" s="17"/>
      <c r="E48" s="17"/>
      <c r="F48" s="17"/>
      <c r="G48" s="17"/>
      <c r="H48" s="17"/>
      <c r="I48" s="34">
        <v>1164.8</v>
      </c>
      <c r="J48" s="17"/>
      <c r="K48" s="52">
        <v>1164.8</v>
      </c>
      <c r="L48" s="52">
        <v>1164.8</v>
      </c>
      <c r="M48" s="52">
        <v>1164.8</v>
      </c>
      <c r="N48" s="52">
        <v>1164.8</v>
      </c>
      <c r="O48" s="5">
        <f t="shared" si="4"/>
        <v>5824</v>
      </c>
      <c r="P48" s="49"/>
      <c r="Q48" s="28"/>
      <c r="R48" s="28"/>
      <c r="S48" s="25"/>
      <c r="T48" s="25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ht="12.75" customHeight="1">
      <c r="A49" s="2"/>
      <c r="B49" s="49" t="s">
        <v>56</v>
      </c>
      <c r="C49" s="21"/>
      <c r="D49" s="17"/>
      <c r="E49" s="17"/>
      <c r="F49" s="17"/>
      <c r="G49" s="17"/>
      <c r="H49" s="17"/>
      <c r="I49" s="17"/>
      <c r="J49" s="17"/>
      <c r="K49" s="17"/>
      <c r="L49" s="22"/>
      <c r="M49" s="22">
        <v>295.0</v>
      </c>
      <c r="N49" s="22">
        <v>295.0</v>
      </c>
      <c r="O49" s="5">
        <f t="shared" si="4"/>
        <v>590</v>
      </c>
      <c r="P49" s="49"/>
      <c r="Q49" s="28"/>
      <c r="R49" s="28"/>
      <c r="S49" s="25"/>
      <c r="T49" s="25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ht="12.75" customHeight="1">
      <c r="A50" s="2"/>
      <c r="B50" s="49" t="s">
        <v>53</v>
      </c>
      <c r="C50" s="21"/>
      <c r="D50" s="17"/>
      <c r="E50" s="17"/>
      <c r="F50" s="17"/>
      <c r="G50" s="17"/>
      <c r="H50" s="17"/>
      <c r="I50" s="22">
        <v>279.13</v>
      </c>
      <c r="J50" s="34">
        <v>254.86</v>
      </c>
      <c r="K50" s="52">
        <v>254.86</v>
      </c>
      <c r="L50" s="52">
        <v>242.72</v>
      </c>
      <c r="M50" s="52">
        <v>194.18</v>
      </c>
      <c r="N50" s="52">
        <v>254.86</v>
      </c>
      <c r="O50" s="5">
        <f t="shared" si="4"/>
        <v>1480.61</v>
      </c>
      <c r="P50" s="49"/>
      <c r="Q50" s="28"/>
      <c r="R50" s="28"/>
      <c r="S50" s="25"/>
      <c r="T50" s="25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ht="12.75" customHeight="1">
      <c r="A51" s="2"/>
      <c r="B51" s="49" t="s">
        <v>57</v>
      </c>
      <c r="C51" s="21"/>
      <c r="D51" s="17"/>
      <c r="E51" s="17"/>
      <c r="F51" s="17"/>
      <c r="G51" s="17"/>
      <c r="H51" s="17"/>
      <c r="I51" s="17"/>
      <c r="J51" s="17"/>
      <c r="K51" s="17"/>
      <c r="L51" s="22"/>
      <c r="M51" s="52">
        <v>338.27</v>
      </c>
      <c r="N51" s="17">
        <v>1164.8</v>
      </c>
      <c r="O51" s="5">
        <f t="shared" si="4"/>
        <v>1503.07</v>
      </c>
      <c r="P51" s="49"/>
      <c r="Q51" s="28"/>
      <c r="R51" s="28"/>
      <c r="S51" s="25"/>
      <c r="T51" s="25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ht="12.75" customHeight="1">
      <c r="A52" s="2"/>
      <c r="B52" s="49" t="s">
        <v>56</v>
      </c>
      <c r="C52" s="21"/>
      <c r="D52" s="25"/>
      <c r="E52" s="25"/>
      <c r="F52" s="50"/>
      <c r="G52" s="25"/>
      <c r="H52" s="50"/>
      <c r="I52" s="25"/>
      <c r="J52" s="25"/>
      <c r="K52" s="50"/>
      <c r="L52" s="50"/>
      <c r="M52" s="17"/>
      <c r="N52" s="22">
        <v>98.33</v>
      </c>
      <c r="O52" s="5">
        <f t="shared" si="4"/>
        <v>98.33</v>
      </c>
      <c r="P52" s="49"/>
      <c r="Q52" s="28"/>
      <c r="R52" s="25"/>
      <c r="S52" s="25"/>
      <c r="T52" s="25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ht="12.75" customHeight="1">
      <c r="A53" s="2"/>
      <c r="B53" s="49" t="s">
        <v>58</v>
      </c>
      <c r="C53" s="21"/>
      <c r="D53" s="50">
        <v>91.16</v>
      </c>
      <c r="E53" s="25"/>
      <c r="F53" s="50">
        <f>95.64+99.65</f>
        <v>195.29</v>
      </c>
      <c r="G53" s="25"/>
      <c r="H53" s="50">
        <v>94.4</v>
      </c>
      <c r="I53" s="25"/>
      <c r="J53" s="50">
        <v>99.63</v>
      </c>
      <c r="K53" s="50"/>
      <c r="L53" s="50">
        <v>94.4</v>
      </c>
      <c r="M53" s="52"/>
      <c r="N53" s="52">
        <f>149.46+188.8</f>
        <v>338.26</v>
      </c>
      <c r="O53" s="5">
        <f t="shared" si="4"/>
        <v>913.14</v>
      </c>
      <c r="P53" s="49"/>
      <c r="Q53" s="28"/>
      <c r="R53" s="25"/>
      <c r="S53" s="25"/>
      <c r="T53" s="25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ht="12.75" customHeight="1">
      <c r="A54" s="2"/>
      <c r="B54" s="49" t="s">
        <v>59</v>
      </c>
      <c r="C54" s="21"/>
      <c r="D54" s="50">
        <v>361.8</v>
      </c>
      <c r="E54" s="25"/>
      <c r="F54" s="50">
        <f>383.31+395.3+383.31</f>
        <v>1161.92</v>
      </c>
      <c r="G54" s="50">
        <v>60.59</v>
      </c>
      <c r="H54" s="50">
        <f>395.3+26.38</f>
        <v>421.68</v>
      </c>
      <c r="I54" s="50">
        <v>461.17</v>
      </c>
      <c r="J54" s="50">
        <v>395.3</v>
      </c>
      <c r="K54" s="50">
        <v>395.3</v>
      </c>
      <c r="L54" s="50"/>
      <c r="M54" s="52">
        <v>395.3</v>
      </c>
      <c r="N54" s="52">
        <f>230.57+527.04</f>
        <v>757.61</v>
      </c>
      <c r="O54" s="5">
        <f t="shared" si="4"/>
        <v>4410.67</v>
      </c>
      <c r="P54" s="49"/>
      <c r="Q54" s="28"/>
      <c r="R54" s="25"/>
      <c r="S54" s="25"/>
      <c r="T54" s="25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ht="12.75" customHeight="1">
      <c r="A55" s="2"/>
      <c r="B55" s="49" t="s">
        <v>60</v>
      </c>
      <c r="C55" s="21"/>
      <c r="D55" s="50">
        <v>10.8</v>
      </c>
      <c r="E55" s="25"/>
      <c r="F55" s="50">
        <v>11.08</v>
      </c>
      <c r="G55" s="50">
        <v>11.8</v>
      </c>
      <c r="H55" s="50">
        <v>11.8</v>
      </c>
      <c r="I55" s="50">
        <v>21.63</v>
      </c>
      <c r="J55" s="50">
        <v>11.8</v>
      </c>
      <c r="K55" s="50"/>
      <c r="L55" s="17">
        <v>11.8</v>
      </c>
      <c r="M55" s="17">
        <v>11.8</v>
      </c>
      <c r="N55" s="17">
        <v>18.68</v>
      </c>
      <c r="O55" s="5">
        <f t="shared" si="4"/>
        <v>121.19</v>
      </c>
      <c r="P55" s="49"/>
      <c r="Q55" s="28"/>
      <c r="R55" s="25"/>
      <c r="S55" s="25"/>
      <c r="T55" s="25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ht="12.75" customHeight="1">
      <c r="A56" s="2"/>
      <c r="B56" s="49" t="s">
        <v>61</v>
      </c>
      <c r="C56" s="21"/>
      <c r="D56" s="25"/>
      <c r="E56" s="25"/>
      <c r="F56" s="50">
        <v>39.33</v>
      </c>
      <c r="G56" s="50">
        <v>35.4</v>
      </c>
      <c r="H56" s="50"/>
      <c r="I56" s="25"/>
      <c r="J56" s="25"/>
      <c r="K56" s="50">
        <v>39.33</v>
      </c>
      <c r="L56" s="50"/>
      <c r="M56" s="52"/>
      <c r="N56" s="52"/>
      <c r="O56" s="51">
        <f t="shared" si="4"/>
        <v>114.06</v>
      </c>
      <c r="P56" s="49"/>
      <c r="Q56" s="28"/>
      <c r="R56" s="25"/>
      <c r="S56" s="25"/>
      <c r="T56" s="25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ht="12.75" customHeight="1">
      <c r="A57" s="2"/>
      <c r="B57" s="49" t="s">
        <v>53</v>
      </c>
      <c r="C57" s="21"/>
      <c r="D57" s="25"/>
      <c r="E57" s="25"/>
      <c r="F57" s="50"/>
      <c r="G57" s="25"/>
      <c r="H57" s="50"/>
      <c r="I57" s="25"/>
      <c r="J57" s="25"/>
      <c r="K57" s="50"/>
      <c r="L57" s="50"/>
      <c r="M57" s="52">
        <v>115.36</v>
      </c>
      <c r="N57" s="52">
        <v>159.6</v>
      </c>
      <c r="O57" s="53">
        <f t="shared" si="4"/>
        <v>274.96</v>
      </c>
      <c r="P57" s="49"/>
      <c r="Q57" s="28"/>
      <c r="R57" s="25"/>
      <c r="S57" s="25"/>
      <c r="T57" s="25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ht="12.75" customHeight="1">
      <c r="A58" s="2"/>
      <c r="B58" s="49" t="s">
        <v>62</v>
      </c>
      <c r="C58" s="21">
        <f>1751.27+3354.7+2248</f>
        <v>7353.97</v>
      </c>
      <c r="D58" s="25">
        <f>2000+20.63+46.28+1300+5928.7</f>
        <v>9295.61</v>
      </c>
      <c r="E58" s="25">
        <f>27.29+2118.64+6554.7+225+450</f>
        <v>9375.63</v>
      </c>
      <c r="F58" s="50">
        <f>6754.7+2000+450</f>
        <v>9204.7</v>
      </c>
      <c r="G58" s="50">
        <f>2000+450+3500+3054.7</f>
        <v>9004.7</v>
      </c>
      <c r="H58" s="50">
        <f>3500+2000+450</f>
        <v>5950</v>
      </c>
      <c r="I58" s="50">
        <f>2000+450+3500</f>
        <v>5950</v>
      </c>
      <c r="J58" s="25">
        <f>2000+1000+3500+3054.7+450</f>
        <v>10004.7</v>
      </c>
      <c r="K58" s="50">
        <f>2221.6+450+3887.8</f>
        <v>6559.4</v>
      </c>
      <c r="L58" s="50">
        <f>1500+2221.6+450+3887.8</f>
        <v>8059.4</v>
      </c>
      <c r="M58" s="22">
        <f>1110.8+450+50</f>
        <v>1610.8</v>
      </c>
      <c r="N58" s="22">
        <f>95.45+1887.94+1110.8+450+3887.8+3887.8+1943.9+1887.94+1943.9</f>
        <v>17095.53</v>
      </c>
      <c r="O58" s="53">
        <f t="shared" si="4"/>
        <v>99464.44</v>
      </c>
      <c r="P58" s="49"/>
      <c r="Q58" s="28"/>
      <c r="R58" s="25"/>
      <c r="S58" s="25"/>
      <c r="T58" s="25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ht="12.75" customHeight="1">
      <c r="A59" s="2"/>
      <c r="B59" s="49" t="s">
        <v>63</v>
      </c>
      <c r="C59" s="21"/>
      <c r="D59" s="17"/>
      <c r="E59" s="17">
        <f>385.86+418.99</f>
        <v>804.85</v>
      </c>
      <c r="F59" s="22">
        <v>1579.0</v>
      </c>
      <c r="G59" s="17">
        <f>11.99+427.53</f>
        <v>439.52</v>
      </c>
      <c r="H59" s="17">
        <f>850+2162.09+2599</f>
        <v>5611.09</v>
      </c>
      <c r="I59" s="17"/>
      <c r="J59" s="17"/>
      <c r="K59" s="22">
        <v>2299.0</v>
      </c>
      <c r="L59" s="22">
        <v>554.7</v>
      </c>
      <c r="M59" s="22">
        <v>73.86</v>
      </c>
      <c r="N59" s="17"/>
      <c r="O59" s="53">
        <f t="shared" si="4"/>
        <v>11362.02</v>
      </c>
      <c r="P59" s="49"/>
      <c r="Q59" s="28"/>
      <c r="R59" s="28"/>
      <c r="S59" s="25"/>
      <c r="T59" s="25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ht="12.75" customHeight="1">
      <c r="A60" s="2"/>
      <c r="B60" s="49" t="s">
        <v>64</v>
      </c>
      <c r="C60" s="21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53">
        <f t="shared" si="4"/>
        <v>0</v>
      </c>
      <c r="P60" s="2"/>
      <c r="Q60" s="26"/>
      <c r="R60" s="25"/>
      <c r="S60" s="25"/>
      <c r="T60" s="25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ht="12.75" customHeight="1">
      <c r="A61" s="2"/>
      <c r="B61" s="49" t="s">
        <v>65</v>
      </c>
      <c r="C61" s="21"/>
      <c r="D61" s="17"/>
      <c r="E61" s="17"/>
      <c r="F61" s="17"/>
      <c r="G61" s="22">
        <v>30.0</v>
      </c>
      <c r="H61" s="22"/>
      <c r="I61" s="17"/>
      <c r="J61" s="17"/>
      <c r="K61" s="17"/>
      <c r="L61" s="17"/>
      <c r="M61" s="17"/>
      <c r="N61" s="17"/>
      <c r="O61" s="53">
        <f t="shared" si="4"/>
        <v>30</v>
      </c>
      <c r="P61" s="49"/>
      <c r="Q61" s="28"/>
      <c r="R61" s="25"/>
      <c r="S61" s="25"/>
      <c r="T61" s="25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ht="12.75" customHeight="1">
      <c r="A62" s="2"/>
      <c r="B62" s="49" t="s">
        <v>66</v>
      </c>
      <c r="C62" s="21">
        <f>995.8+705.85</f>
        <v>1701.65</v>
      </c>
      <c r="D62" s="17">
        <f>764.09+621.82+18.8+16.95+7.65</f>
        <v>1429.31</v>
      </c>
      <c r="E62" s="17">
        <f>879.59+941.41+29.2</f>
        <v>1850.2</v>
      </c>
      <c r="F62" s="17">
        <f>1049.65+660.85</f>
        <v>1710.5</v>
      </c>
      <c r="G62" s="17">
        <f>495+1199.2</f>
        <v>1694.2</v>
      </c>
      <c r="H62" s="17">
        <f>709.9+957.8</f>
        <v>1667.7</v>
      </c>
      <c r="I62" s="17">
        <f>156.93+996.55+998.2</f>
        <v>2151.68</v>
      </c>
      <c r="J62" s="17">
        <f>153.88+182.2+813.55+1431.1+28.5</f>
        <v>2609.23</v>
      </c>
      <c r="K62" s="17">
        <f>71.78+22.6+1102.75+908.5</f>
        <v>2105.63</v>
      </c>
      <c r="L62" s="22">
        <f>116.36+1039+1126.05</f>
        <v>2281.41</v>
      </c>
      <c r="M62" s="22">
        <f>304.93+557.9+809</f>
        <v>1671.83</v>
      </c>
      <c r="N62" s="22">
        <f>84.68+745.1</f>
        <v>829.78</v>
      </c>
      <c r="O62" s="53">
        <f t="shared" si="4"/>
        <v>21703.12</v>
      </c>
      <c r="P62" s="49"/>
      <c r="Q62" s="28"/>
      <c r="R62" s="25"/>
      <c r="S62" s="25"/>
      <c r="T62" s="25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ht="12.75" customHeight="1">
      <c r="A63" s="2"/>
      <c r="B63" s="20" t="s">
        <v>67</v>
      </c>
      <c r="C63" s="21"/>
      <c r="D63" s="50">
        <v>73.97</v>
      </c>
      <c r="E63" s="50">
        <v>5.69</v>
      </c>
      <c r="F63" s="25">
        <f>805.85+107.2</f>
        <v>913.05</v>
      </c>
      <c r="G63" s="25"/>
      <c r="H63" s="25"/>
      <c r="I63" s="25">
        <f>262.7</f>
        <v>262.7</v>
      </c>
      <c r="J63" s="50">
        <f>66.25+764.95</f>
        <v>831.2</v>
      </c>
      <c r="K63" s="25"/>
      <c r="L63" s="17"/>
      <c r="M63" s="22">
        <v>75.93</v>
      </c>
      <c r="N63" s="17"/>
      <c r="O63" s="53">
        <f t="shared" si="4"/>
        <v>2162.54</v>
      </c>
      <c r="P63" s="49"/>
      <c r="Q63" s="28"/>
      <c r="R63" s="50"/>
      <c r="S63" s="25"/>
      <c r="T63" s="25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ht="12.75" customHeight="1">
      <c r="A64" s="2"/>
      <c r="B64" s="20" t="s">
        <v>68</v>
      </c>
      <c r="C64" s="21">
        <f>320.58+200</f>
        <v>520.58</v>
      </c>
      <c r="D64" s="25">
        <f>477.26+481.51+723.2+95.25+394.8</f>
        <v>2172.02</v>
      </c>
      <c r="E64" s="25">
        <f>1084.8+473.31+639.2+458.22</f>
        <v>2655.53</v>
      </c>
      <c r="F64" s="25">
        <f>182.95+361.5+113+881.4+458.22</f>
        <v>1997.07</v>
      </c>
      <c r="G64" s="25">
        <f>744.92+2056.6+100+899.43+152.6</f>
        <v>3953.55</v>
      </c>
      <c r="H64" s="25">
        <f>2246+899.43+406+748.71</f>
        <v>4300.14</v>
      </c>
      <c r="I64" s="25">
        <f>252.79+230+221.1+228+469.2+748.71+1683.78+151</f>
        <v>3984.58</v>
      </c>
      <c r="J64" s="25">
        <f>187+136.8+596.42+1683.78</f>
        <v>2604</v>
      </c>
      <c r="K64" s="25">
        <f>191.36+596.42+469.3</f>
        <v>1257.08</v>
      </c>
      <c r="L64" s="17">
        <f>329.83+347.82+289.8+1880.85+4179+188.68+123.34</f>
        <v>7339.32</v>
      </c>
      <c r="M64" s="17">
        <f>347.82+4131+340.5+1880.85+1133.57+674.97+1645.5+598.8+123.34+506</f>
        <v>11382.35</v>
      </c>
      <c r="N64" s="17">
        <f>1133.56+439.5+1002.05+472.8+168.42</f>
        <v>3216.33</v>
      </c>
      <c r="O64" s="53">
        <f t="shared" si="4"/>
        <v>45382.55</v>
      </c>
      <c r="P64" s="49"/>
      <c r="Q64" s="28"/>
      <c r="R64" s="50"/>
      <c r="S64" s="25"/>
      <c r="T64" s="25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ht="12.75" customHeight="1">
      <c r="A65" s="2"/>
      <c r="B65" s="20" t="s">
        <v>69</v>
      </c>
      <c r="C65" s="21"/>
      <c r="D65" s="25"/>
      <c r="E65" s="25"/>
      <c r="F65" s="25"/>
      <c r="G65" s="25"/>
      <c r="H65" s="25"/>
      <c r="I65" s="25"/>
      <c r="J65" s="25"/>
      <c r="K65" s="50">
        <v>131.76</v>
      </c>
      <c r="L65" s="17"/>
      <c r="M65" s="22">
        <v>3100.0</v>
      </c>
      <c r="N65" s="17"/>
      <c r="O65" s="53">
        <f t="shared" si="4"/>
        <v>3231.76</v>
      </c>
      <c r="P65" s="49"/>
      <c r="Q65" s="28"/>
      <c r="R65" s="50"/>
      <c r="S65" s="25"/>
      <c r="T65" s="25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ht="12.75" customHeight="1">
      <c r="A66" s="2"/>
      <c r="B66" s="49" t="s">
        <v>70</v>
      </c>
      <c r="C66" s="21"/>
      <c r="D66" s="25"/>
      <c r="E66" s="25"/>
      <c r="F66" s="25"/>
      <c r="G66" s="25"/>
      <c r="H66" s="25"/>
      <c r="I66" s="25"/>
      <c r="J66" s="25"/>
      <c r="K66" s="25"/>
      <c r="L66" s="17"/>
      <c r="M66" s="17"/>
      <c r="N66" s="17"/>
      <c r="O66" s="53">
        <f t="shared" si="4"/>
        <v>0</v>
      </c>
      <c r="P66" s="2"/>
      <c r="Q66" s="54"/>
      <c r="R66" s="50"/>
      <c r="S66" s="25"/>
      <c r="T66" s="25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ht="12.75" customHeight="1">
      <c r="A67" s="2"/>
      <c r="B67" s="49" t="s">
        <v>71</v>
      </c>
      <c r="C67" s="21">
        <f>400+104+5+358.14 </f>
        <v>867.14</v>
      </c>
      <c r="D67" s="25">
        <f>68+295+228+750.12</f>
        <v>1341.12</v>
      </c>
      <c r="E67" s="50">
        <f>53.4+106+1455</f>
        <v>1614.4</v>
      </c>
      <c r="F67" s="50">
        <f>110+117.47</f>
        <v>227.47</v>
      </c>
      <c r="G67" s="25">
        <f>37.5+90+67</f>
        <v>194.5</v>
      </c>
      <c r="H67" s="25">
        <f>163.1+152+1138.86</f>
        <v>1453.96</v>
      </c>
      <c r="I67" s="25"/>
      <c r="J67" s="50">
        <f>214+1125.47</f>
        <v>1339.47</v>
      </c>
      <c r="K67" s="25">
        <f>209.95+650+396</f>
        <v>1255.95</v>
      </c>
      <c r="L67" s="22">
        <f>305.76</f>
        <v>305.76</v>
      </c>
      <c r="M67" s="55">
        <v>19.76</v>
      </c>
      <c r="N67" s="22">
        <f>37.74+31.69+200</f>
        <v>269.43</v>
      </c>
      <c r="O67" s="53">
        <f t="shared" si="4"/>
        <v>8888.96</v>
      </c>
      <c r="P67" s="49"/>
      <c r="Q67" s="28"/>
      <c r="R67" s="50"/>
      <c r="S67" s="43"/>
      <c r="T67" s="25"/>
      <c r="U67" s="56"/>
      <c r="V67" s="2"/>
      <c r="W67" s="2"/>
      <c r="X67" s="2"/>
      <c r="Y67" s="2"/>
      <c r="Z67" s="2"/>
      <c r="AA67" s="2"/>
      <c r="AB67" s="2"/>
      <c r="AC67" s="2"/>
      <c r="AD67" s="2"/>
    </row>
    <row r="68" ht="12.75" customHeight="1">
      <c r="A68" s="2"/>
      <c r="B68" s="49" t="s">
        <v>72</v>
      </c>
      <c r="C68" s="21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53">
        <f t="shared" si="4"/>
        <v>0</v>
      </c>
      <c r="P68" s="2"/>
      <c r="Q68" s="28"/>
      <c r="R68" s="50"/>
      <c r="S68" s="25"/>
      <c r="T68" s="25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ht="12.75" customHeight="1">
      <c r="A69" s="2"/>
      <c r="B69" s="49" t="s">
        <v>73</v>
      </c>
      <c r="C69" s="21"/>
      <c r="D69" s="25"/>
      <c r="E69" s="25"/>
      <c r="F69" s="25"/>
      <c r="G69" s="25">
        <f>15.97+22.36</f>
        <v>38.33</v>
      </c>
      <c r="H69" s="25"/>
      <c r="I69" s="25"/>
      <c r="J69" s="25"/>
      <c r="K69" s="25">
        <f>25</f>
        <v>25</v>
      </c>
      <c r="L69" s="25"/>
      <c r="M69" s="22">
        <f>189.44+93+7.6+19.51</f>
        <v>309.55</v>
      </c>
      <c r="N69" s="22">
        <v>3.8</v>
      </c>
      <c r="O69" s="53">
        <f t="shared" si="4"/>
        <v>376.68</v>
      </c>
      <c r="P69" s="2"/>
      <c r="Q69" s="28"/>
      <c r="R69" s="50"/>
      <c r="S69" s="25"/>
      <c r="T69" s="25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ht="12.75" customHeight="1">
      <c r="A70" s="2"/>
      <c r="B70" s="49" t="s">
        <v>74</v>
      </c>
      <c r="C70" s="21"/>
      <c r="D70" s="25"/>
      <c r="E70" s="25"/>
      <c r="F70" s="25"/>
      <c r="G70" s="25"/>
      <c r="H70" s="25"/>
      <c r="I70" s="25"/>
      <c r="J70" s="25"/>
      <c r="K70" s="25"/>
      <c r="L70" s="25"/>
      <c r="M70" s="17"/>
      <c r="N70" s="17"/>
      <c r="O70" s="53">
        <f t="shared" si="4"/>
        <v>0</v>
      </c>
      <c r="P70" s="2"/>
      <c r="Q70" s="28"/>
      <c r="R70" s="25"/>
      <c r="S70" s="25"/>
      <c r="T70" s="25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ht="12.75" customHeight="1">
      <c r="A71" s="2"/>
      <c r="B71" s="49" t="s">
        <v>75</v>
      </c>
      <c r="C71" s="21"/>
      <c r="D71" s="26"/>
      <c r="E71" s="26"/>
      <c r="F71" s="26"/>
      <c r="G71" s="26"/>
      <c r="H71" s="26"/>
      <c r="I71" s="26"/>
      <c r="J71" s="26"/>
      <c r="K71" s="26"/>
      <c r="L71" s="25"/>
      <c r="M71" s="17"/>
      <c r="N71" s="17"/>
      <c r="O71" s="53">
        <f t="shared" si="4"/>
        <v>0</v>
      </c>
      <c r="P71" s="2"/>
      <c r="Q71" s="28"/>
      <c r="R71" s="25"/>
      <c r="S71" s="25"/>
      <c r="T71" s="25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ht="12.75" customHeight="1">
      <c r="A72" s="2"/>
      <c r="B72" s="20" t="s">
        <v>76</v>
      </c>
      <c r="C72" s="21">
        <v>1000.0</v>
      </c>
      <c r="D72" s="50">
        <v>1000.0</v>
      </c>
      <c r="E72" s="50">
        <v>1000.0</v>
      </c>
      <c r="F72" s="50">
        <v>1000.0</v>
      </c>
      <c r="G72" s="50">
        <v>1000.0</v>
      </c>
      <c r="H72" s="50">
        <v>1000.0</v>
      </c>
      <c r="I72" s="50">
        <v>1000.0</v>
      </c>
      <c r="J72" s="50">
        <f>1000+750</f>
        <v>1750</v>
      </c>
      <c r="K72" s="50"/>
      <c r="L72" s="50">
        <v>1000.0</v>
      </c>
      <c r="M72" s="50">
        <v>1400.0</v>
      </c>
      <c r="N72" s="50"/>
      <c r="O72" s="53">
        <f t="shared" si="4"/>
        <v>11150</v>
      </c>
      <c r="P72" s="49"/>
      <c r="Q72" s="28"/>
      <c r="R72" s="25"/>
      <c r="S72" s="25"/>
      <c r="T72" s="25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ht="12.75" customHeight="1">
      <c r="A73" s="2"/>
      <c r="B73" s="20" t="s">
        <v>77</v>
      </c>
      <c r="C73" s="21"/>
      <c r="D73" s="25"/>
      <c r="E73" s="50"/>
      <c r="F73" s="50">
        <v>2850.0</v>
      </c>
      <c r="G73" s="50">
        <v>2850.0</v>
      </c>
      <c r="H73" s="50">
        <v>2850.0</v>
      </c>
      <c r="I73" s="50">
        <v>2850.0</v>
      </c>
      <c r="J73" s="50">
        <v>2906.71</v>
      </c>
      <c r="K73" s="52">
        <v>2796.0</v>
      </c>
      <c r="L73" s="50">
        <v>2850.0</v>
      </c>
      <c r="M73" s="50">
        <v>2850.0</v>
      </c>
      <c r="N73" s="50">
        <v>2850.0</v>
      </c>
      <c r="O73" s="53">
        <f t="shared" si="4"/>
        <v>25652.71</v>
      </c>
      <c r="P73" s="49"/>
      <c r="Q73" s="28"/>
      <c r="R73" s="25"/>
      <c r="S73" s="25"/>
      <c r="T73" s="25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ht="12.75" customHeight="1">
      <c r="A74" s="2"/>
      <c r="B74" s="20" t="s">
        <v>78</v>
      </c>
      <c r="C74" s="21"/>
      <c r="D74" s="25"/>
      <c r="E74" s="50">
        <v>1300.0</v>
      </c>
      <c r="F74" s="50">
        <v>1200.0</v>
      </c>
      <c r="G74" s="50">
        <v>1300.0</v>
      </c>
      <c r="H74" s="57">
        <v>1300.0</v>
      </c>
      <c r="I74" s="57">
        <f>642.85+1300</f>
        <v>1942.85</v>
      </c>
      <c r="J74" s="50"/>
      <c r="K74" s="50">
        <f>1500+1500</f>
        <v>3000</v>
      </c>
      <c r="L74" s="22"/>
      <c r="M74" s="17">
        <f>1500</f>
        <v>1500</v>
      </c>
      <c r="N74" s="22">
        <f>250</f>
        <v>250</v>
      </c>
      <c r="O74" s="53">
        <f t="shared" si="4"/>
        <v>11792.85</v>
      </c>
      <c r="P74" s="49"/>
      <c r="Q74" s="28"/>
      <c r="R74" s="25"/>
      <c r="S74" s="25"/>
      <c r="T74" s="25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ht="12.75" customHeight="1">
      <c r="A75" s="2"/>
      <c r="B75" s="20" t="s">
        <v>79</v>
      </c>
      <c r="C75" s="21">
        <v>100.0</v>
      </c>
      <c r="D75" s="50">
        <v>87.5</v>
      </c>
      <c r="E75" s="50">
        <v>916.67</v>
      </c>
      <c r="F75" s="50">
        <v>658.33</v>
      </c>
      <c r="G75" s="50">
        <v>668.33</v>
      </c>
      <c r="H75" s="25">
        <f>950.83</f>
        <v>950.83</v>
      </c>
      <c r="I75" s="25">
        <f>26.67+297.29</f>
        <v>323.96</v>
      </c>
      <c r="J75" s="25"/>
      <c r="K75" s="25">
        <f>831.4+444.75</f>
        <v>1276.15</v>
      </c>
      <c r="L75" s="22">
        <v>533.54</v>
      </c>
      <c r="M75" s="22">
        <v>256.05</v>
      </c>
      <c r="N75" s="17">
        <f>10+125</f>
        <v>135</v>
      </c>
      <c r="O75" s="53">
        <f t="shared" si="4"/>
        <v>5906.36</v>
      </c>
      <c r="P75" s="49"/>
      <c r="Q75" s="28"/>
      <c r="R75" s="25"/>
      <c r="S75" s="25"/>
      <c r="T75" s="25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ht="12.75" customHeight="1">
      <c r="A76" s="2"/>
      <c r="B76" s="20" t="s">
        <v>80</v>
      </c>
      <c r="C76" s="21"/>
      <c r="D76" s="25"/>
      <c r="E76" s="25"/>
      <c r="F76" s="25"/>
      <c r="G76" s="25"/>
      <c r="H76" s="57">
        <v>3054.7</v>
      </c>
      <c r="I76" s="57">
        <v>3054.27</v>
      </c>
      <c r="J76" s="50"/>
      <c r="K76" s="50">
        <v>3393.16</v>
      </c>
      <c r="L76" s="22">
        <v>3393.16</v>
      </c>
      <c r="M76" s="17"/>
      <c r="N76" s="22">
        <f>3393.16+3393.16</f>
        <v>6786.32</v>
      </c>
      <c r="O76" s="53">
        <f t="shared" si="4"/>
        <v>19681.61</v>
      </c>
      <c r="P76" s="49"/>
      <c r="Q76" s="28"/>
      <c r="R76" s="25"/>
      <c r="S76" s="25"/>
      <c r="T76" s="25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ht="12.75" customHeight="1">
      <c r="A77" s="2"/>
      <c r="B77" s="20" t="s">
        <v>81</v>
      </c>
      <c r="C77" s="21"/>
      <c r="D77" s="50">
        <f>400+650+50</f>
        <v>1100</v>
      </c>
      <c r="E77" s="50">
        <v>400.0</v>
      </c>
      <c r="F77" s="50"/>
      <c r="G77" s="50">
        <f>400+400</f>
        <v>800</v>
      </c>
      <c r="H77" s="50">
        <v>400.0</v>
      </c>
      <c r="I77" s="50">
        <v>400.0</v>
      </c>
      <c r="J77" s="50">
        <v>400.0</v>
      </c>
      <c r="K77" s="50">
        <v>400.0</v>
      </c>
      <c r="L77" s="22">
        <v>400.0</v>
      </c>
      <c r="M77" s="22">
        <v>400.0</v>
      </c>
      <c r="N77" s="22">
        <v>400.0</v>
      </c>
      <c r="O77" s="53">
        <f t="shared" si="4"/>
        <v>5100</v>
      </c>
      <c r="P77" s="49"/>
      <c r="Q77" s="28"/>
      <c r="R77" s="25"/>
      <c r="S77" s="25"/>
      <c r="T77" s="25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ht="12.75" customHeight="1">
      <c r="A78" s="2"/>
      <c r="B78" s="20" t="s">
        <v>82</v>
      </c>
      <c r="C78" s="21"/>
      <c r="D78" s="25"/>
      <c r="E78" s="50">
        <v>448.0</v>
      </c>
      <c r="F78" s="25"/>
      <c r="G78" s="50">
        <v>40.0</v>
      </c>
      <c r="H78" s="25">
        <f>40</f>
        <v>40</v>
      </c>
      <c r="I78" s="43">
        <f>+28</f>
        <v>28</v>
      </c>
      <c r="J78" s="25">
        <f>50+52</f>
        <v>102</v>
      </c>
      <c r="K78" s="25">
        <f>45+300+60</f>
        <v>405</v>
      </c>
      <c r="L78" s="17">
        <f>300+45</f>
        <v>345</v>
      </c>
      <c r="M78" s="17"/>
      <c r="N78" s="17">
        <f>300+300</f>
        <v>600</v>
      </c>
      <c r="O78" s="53">
        <f t="shared" si="4"/>
        <v>2008</v>
      </c>
      <c r="P78" s="49"/>
      <c r="Q78" s="28"/>
      <c r="R78" s="25"/>
      <c r="S78" s="25"/>
      <c r="T78" s="25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ht="12.75" customHeight="1">
      <c r="A79" s="2"/>
      <c r="B79" s="20" t="s">
        <v>83</v>
      </c>
      <c r="C79" s="34">
        <v>49.88</v>
      </c>
      <c r="D79" s="25"/>
      <c r="E79" s="50">
        <f>171.76+180.92</f>
        <v>352.68</v>
      </c>
      <c r="F79" s="34">
        <v>270.88</v>
      </c>
      <c r="G79" s="52">
        <v>122.09</v>
      </c>
      <c r="H79" s="52">
        <v>75.66</v>
      </c>
      <c r="I79" s="34">
        <v>90.39</v>
      </c>
      <c r="J79" s="34">
        <v>83.25</v>
      </c>
      <c r="K79" s="52">
        <v>98.21</v>
      </c>
      <c r="L79" s="52">
        <v>98.1</v>
      </c>
      <c r="M79" s="52">
        <v>152.85</v>
      </c>
      <c r="N79" s="52">
        <v>173.88</v>
      </c>
      <c r="O79" s="53">
        <f t="shared" si="4"/>
        <v>1567.87</v>
      </c>
      <c r="P79" s="49"/>
      <c r="Q79" s="28"/>
      <c r="R79" s="25"/>
      <c r="S79" s="25"/>
      <c r="T79" s="25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ht="12.75" customHeight="1">
      <c r="A80" s="2"/>
      <c r="B80" s="20" t="s">
        <v>84</v>
      </c>
      <c r="C80" s="21"/>
      <c r="D80" s="25"/>
      <c r="E80" s="25"/>
      <c r="F80" s="25"/>
      <c r="G80" s="25"/>
      <c r="H80" s="25"/>
      <c r="I80" s="25"/>
      <c r="J80" s="25"/>
      <c r="K80" s="25"/>
      <c r="L80" s="17"/>
      <c r="M80" s="17"/>
      <c r="N80" s="17"/>
      <c r="O80" s="5">
        <f t="shared" si="4"/>
        <v>0</v>
      </c>
      <c r="P80" s="2"/>
      <c r="Q80" s="28"/>
      <c r="R80" s="25"/>
      <c r="S80" s="25"/>
      <c r="T80" s="25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ht="12.75" customHeight="1">
      <c r="A81" s="2"/>
      <c r="B81" s="49" t="s">
        <v>85</v>
      </c>
      <c r="C81" s="21"/>
      <c r="D81" s="22">
        <v>1002.73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51">
        <f t="shared" si="4"/>
        <v>1002.73</v>
      </c>
      <c r="P81" s="49"/>
      <c r="Q81" s="28"/>
      <c r="R81" s="25"/>
      <c r="S81" s="25"/>
      <c r="T81" s="25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ht="12.75" customHeight="1">
      <c r="A82" s="15"/>
      <c r="B82" s="20" t="s">
        <v>86</v>
      </c>
      <c r="C82" s="21">
        <v>350.0</v>
      </c>
      <c r="D82" s="22">
        <v>1500.0</v>
      </c>
      <c r="E82" s="22">
        <f>1800+1500</f>
        <v>3300</v>
      </c>
      <c r="F82" s="22">
        <v>1500.0</v>
      </c>
      <c r="G82" s="22">
        <v>1500.0</v>
      </c>
      <c r="H82" s="22">
        <v>1500.0</v>
      </c>
      <c r="I82" s="22">
        <v>1500.0</v>
      </c>
      <c r="J82" s="22">
        <v>1500.0</v>
      </c>
      <c r="K82" s="22">
        <v>1500.0</v>
      </c>
      <c r="L82" s="22">
        <v>1500.0</v>
      </c>
      <c r="M82" s="22">
        <v>1500.0</v>
      </c>
      <c r="N82" s="22">
        <v>1455.01</v>
      </c>
      <c r="O82" s="53">
        <f t="shared" si="4"/>
        <v>18605.01</v>
      </c>
      <c r="P82" s="49"/>
      <c r="Q82" s="28"/>
      <c r="R82" s="25"/>
      <c r="S82" s="25"/>
      <c r="T82" s="25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ht="12.75" customHeight="1">
      <c r="A83" s="58"/>
      <c r="B83" s="59" t="s">
        <v>87</v>
      </c>
      <c r="C83" s="60"/>
      <c r="D83" s="61"/>
      <c r="E83" s="62">
        <v>150.0</v>
      </c>
      <c r="F83" s="61"/>
      <c r="G83" s="61"/>
      <c r="H83" s="61"/>
      <c r="I83" s="61"/>
      <c r="J83" s="61"/>
      <c r="K83" s="62">
        <v>41.8</v>
      </c>
      <c r="L83" s="61"/>
      <c r="M83" s="61"/>
      <c r="N83" s="61"/>
      <c r="O83" s="63">
        <f t="shared" si="4"/>
        <v>191.8</v>
      </c>
      <c r="P83" s="64"/>
      <c r="Q83" s="28"/>
      <c r="R83" s="65"/>
      <c r="S83" s="65"/>
      <c r="T83" s="65"/>
      <c r="U83" s="58"/>
      <c r="V83" s="58"/>
      <c r="W83" s="58"/>
      <c r="X83" s="58"/>
      <c r="Y83" s="58"/>
      <c r="Z83" s="58"/>
      <c r="AA83" s="58"/>
      <c r="AB83" s="58"/>
      <c r="AC83" s="58"/>
      <c r="AD83" s="58"/>
    </row>
    <row r="84" ht="12.75" customHeight="1">
      <c r="A84" s="2"/>
      <c r="B84" s="49" t="s">
        <v>88</v>
      </c>
      <c r="C84" s="21">
        <v>59.9</v>
      </c>
      <c r="D84" s="22">
        <v>18.8</v>
      </c>
      <c r="E84" s="17"/>
      <c r="F84" s="22">
        <v>760.14</v>
      </c>
      <c r="G84" s="17">
        <f>55+355.28+900</f>
        <v>1310.28</v>
      </c>
      <c r="H84" s="17"/>
      <c r="I84" s="17"/>
      <c r="J84" s="17"/>
      <c r="K84" s="22">
        <v>295.5</v>
      </c>
      <c r="L84" s="17"/>
      <c r="M84" s="17">
        <f>59.89+336.18+1753.99</f>
        <v>2150.06</v>
      </c>
      <c r="N84" s="22">
        <v>373.36</v>
      </c>
      <c r="O84" s="53">
        <f t="shared" si="4"/>
        <v>4968.04</v>
      </c>
      <c r="P84" s="49"/>
      <c r="Q84" s="28"/>
      <c r="R84" s="25"/>
      <c r="S84" s="25"/>
      <c r="T84" s="25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ht="12.75" customHeight="1">
      <c r="A85" s="2"/>
      <c r="B85" s="20" t="s">
        <v>89</v>
      </c>
      <c r="C85" s="21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53">
        <f t="shared" si="4"/>
        <v>0</v>
      </c>
      <c r="P85" s="2"/>
      <c r="Q85" s="28"/>
      <c r="R85" s="25"/>
      <c r="S85" s="25"/>
      <c r="T85" s="25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ht="12.75" customHeight="1">
      <c r="A86" s="2"/>
      <c r="B86" s="20" t="s">
        <v>90</v>
      </c>
      <c r="C86" s="21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53">
        <f t="shared" si="4"/>
        <v>0</v>
      </c>
      <c r="P86" s="2"/>
      <c r="Q86" s="28"/>
      <c r="R86" s="25"/>
      <c r="S86" s="25"/>
      <c r="T86" s="25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ht="12.75" customHeight="1">
      <c r="A87" s="2"/>
      <c r="B87" s="20" t="s">
        <v>91</v>
      </c>
      <c r="C87" s="21"/>
      <c r="D87" s="17"/>
      <c r="E87" s="17"/>
      <c r="F87" s="17"/>
      <c r="G87" s="17"/>
      <c r="H87" s="17"/>
      <c r="I87" s="17"/>
      <c r="J87" s="17"/>
      <c r="K87" s="17"/>
      <c r="L87" s="17"/>
      <c r="M87" s="22">
        <v>18.0</v>
      </c>
      <c r="N87" s="17"/>
      <c r="O87" s="53">
        <f t="shared" si="4"/>
        <v>18</v>
      </c>
      <c r="P87" s="49"/>
      <c r="Q87" s="28"/>
      <c r="R87" s="25"/>
      <c r="S87" s="25"/>
      <c r="T87" s="25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ht="12.75" customHeight="1">
      <c r="A88" s="2"/>
      <c r="B88" s="20" t="s">
        <v>92</v>
      </c>
      <c r="C88" s="21"/>
      <c r="D88" s="17"/>
      <c r="E88" s="17"/>
      <c r="F88" s="17"/>
      <c r="G88" s="17"/>
      <c r="H88" s="17"/>
      <c r="I88" s="17"/>
      <c r="J88" s="17"/>
      <c r="K88" s="17"/>
      <c r="L88" s="17"/>
      <c r="M88" s="22"/>
      <c r="N88" s="22"/>
      <c r="O88" s="53">
        <f t="shared" si="4"/>
        <v>0</v>
      </c>
      <c r="P88" s="2"/>
      <c r="Q88" s="28"/>
      <c r="R88" s="25"/>
      <c r="S88" s="25"/>
      <c r="T88" s="25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ht="12.75" customHeight="1">
      <c r="A89" s="2"/>
      <c r="B89" s="20" t="s">
        <v>93</v>
      </c>
      <c r="C89" s="21">
        <f>5.8+210.19</f>
        <v>215.99</v>
      </c>
      <c r="D89" s="22">
        <v>14.93</v>
      </c>
      <c r="E89" s="22">
        <v>14.93</v>
      </c>
      <c r="F89" s="17">
        <f>14.93</f>
        <v>14.93</v>
      </c>
      <c r="G89" s="17">
        <f>18.62</f>
        <v>18.62</v>
      </c>
      <c r="H89" s="22">
        <v>14.93</v>
      </c>
      <c r="I89" s="17">
        <f>14.93+35</f>
        <v>49.93</v>
      </c>
      <c r="J89" s="17">
        <f>15.25+35</f>
        <v>50.25</v>
      </c>
      <c r="K89" s="17">
        <f>14.93+35</f>
        <v>49.93</v>
      </c>
      <c r="L89" s="17">
        <f>25.81+35</f>
        <v>60.81</v>
      </c>
      <c r="M89" s="17">
        <f>14.93+15+35</f>
        <v>64.93</v>
      </c>
      <c r="N89" s="22">
        <f>35+43.5+20</f>
        <v>98.5</v>
      </c>
      <c r="O89" s="53">
        <f t="shared" si="4"/>
        <v>668.68</v>
      </c>
      <c r="P89" s="49"/>
      <c r="Q89" s="28"/>
      <c r="R89" s="25"/>
      <c r="S89" s="66"/>
      <c r="T89" s="25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ht="12.75" customHeight="1">
      <c r="A90" s="2"/>
      <c r="B90" s="20" t="s">
        <v>94</v>
      </c>
      <c r="C90" s="21">
        <v>31.29</v>
      </c>
      <c r="D90" s="22">
        <v>208.68</v>
      </c>
      <c r="E90" s="22">
        <v>169.68</v>
      </c>
      <c r="F90" s="22">
        <v>190.85</v>
      </c>
      <c r="G90" s="22">
        <v>191.95</v>
      </c>
      <c r="H90" s="22">
        <v>197.75</v>
      </c>
      <c r="I90" s="22">
        <f>197.54+190.25</f>
        <v>387.79</v>
      </c>
      <c r="J90" s="17"/>
      <c r="K90" s="17"/>
      <c r="L90" s="17">
        <f>183.19+183.28+184.16</f>
        <v>550.63</v>
      </c>
      <c r="M90" s="17"/>
      <c r="N90" s="22">
        <v>18.24</v>
      </c>
      <c r="O90" s="53">
        <f t="shared" si="4"/>
        <v>1946.86</v>
      </c>
      <c r="P90" s="49"/>
      <c r="Q90" s="28"/>
      <c r="R90" s="25"/>
      <c r="S90" s="66"/>
      <c r="T90" s="25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ht="12.75" customHeight="1">
      <c r="A91" s="2"/>
      <c r="B91" s="20" t="s">
        <v>95</v>
      </c>
      <c r="C91" s="21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53">
        <f t="shared" si="4"/>
        <v>0</v>
      </c>
      <c r="P91" s="2"/>
      <c r="Q91" s="28"/>
      <c r="R91" s="25"/>
      <c r="S91" s="66"/>
      <c r="T91" s="25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ht="12.75" customHeight="1">
      <c r="A92" s="2"/>
      <c r="B92" s="20" t="s">
        <v>96</v>
      </c>
      <c r="C92" s="21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53">
        <f t="shared" si="4"/>
        <v>0</v>
      </c>
      <c r="P92" s="2"/>
      <c r="Q92" s="28"/>
      <c r="R92" s="25"/>
      <c r="S92" s="66"/>
      <c r="T92" s="25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ht="12.75" customHeight="1">
      <c r="A93" s="27" t="s">
        <v>97</v>
      </c>
      <c r="B93" s="20"/>
      <c r="C93" s="36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53"/>
      <c r="P93" s="2"/>
      <c r="Q93" s="28"/>
      <c r="R93" s="25"/>
      <c r="S93" s="66"/>
      <c r="T93" s="25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ht="12.75" customHeight="1">
      <c r="A94" s="2"/>
      <c r="B94" s="50" t="s">
        <v>51</v>
      </c>
      <c r="C94" s="21"/>
      <c r="D94" s="22"/>
      <c r="E94" s="24"/>
      <c r="F94" s="24"/>
      <c r="G94" s="22">
        <f>99.51+99.51+39.8</f>
        <v>238.82</v>
      </c>
      <c r="H94" s="22"/>
      <c r="I94" s="24"/>
      <c r="J94" s="24"/>
      <c r="K94" s="22"/>
      <c r="L94" s="17"/>
      <c r="M94" s="17"/>
      <c r="N94" s="17"/>
      <c r="O94" s="5">
        <f t="shared" ref="O94:O117" si="5">SUM(C94:N94)</f>
        <v>238.82</v>
      </c>
      <c r="P94" s="49"/>
      <c r="Q94" s="28"/>
      <c r="R94" s="25"/>
      <c r="S94" s="25"/>
      <c r="T94" s="25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ht="12.75" customHeight="1">
      <c r="A95" s="2"/>
      <c r="B95" s="20" t="s">
        <v>98</v>
      </c>
      <c r="C95" s="21"/>
      <c r="D95" s="17"/>
      <c r="E95" s="17"/>
      <c r="F95" s="17"/>
      <c r="G95" s="22">
        <v>630.0</v>
      </c>
      <c r="H95" s="22">
        <f>630+4098.6+162.42+61.32+259.18+340</f>
        <v>5551.52</v>
      </c>
      <c r="I95" s="22">
        <v>170.0</v>
      </c>
      <c r="J95" s="17"/>
      <c r="K95" s="17"/>
      <c r="L95" s="17"/>
      <c r="M95" s="17"/>
      <c r="N95" s="17">
        <f>+386.37</f>
        <v>386.37</v>
      </c>
      <c r="O95" s="53">
        <f t="shared" si="5"/>
        <v>6737.89</v>
      </c>
      <c r="P95" s="49"/>
      <c r="Q95" s="28"/>
      <c r="R95" s="25"/>
      <c r="S95" s="67"/>
      <c r="T95" s="25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ht="12.75" customHeight="1">
      <c r="A96" s="2"/>
      <c r="B96" s="20" t="s">
        <v>99</v>
      </c>
      <c r="C96" s="21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>
        <f>82.16</f>
        <v>82.16</v>
      </c>
      <c r="O96" s="53">
        <f t="shared" si="5"/>
        <v>82.16</v>
      </c>
      <c r="P96" s="49"/>
      <c r="Q96" s="28"/>
      <c r="R96" s="25"/>
      <c r="S96" s="66"/>
      <c r="T96" s="25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ht="12.75" customHeight="1">
      <c r="A97" s="2"/>
      <c r="B97" s="20" t="s">
        <v>100</v>
      </c>
      <c r="C97" s="21"/>
      <c r="D97" s="17"/>
      <c r="E97" s="24">
        <v>337.0</v>
      </c>
      <c r="F97" s="4"/>
      <c r="G97" s="17"/>
      <c r="H97" s="17">
        <f>7508+3343.09</f>
        <v>10851.09</v>
      </c>
      <c r="I97" s="4"/>
      <c r="J97" s="4"/>
      <c r="K97" s="17"/>
      <c r="L97" s="17"/>
      <c r="M97" s="22">
        <v>160.0</v>
      </c>
      <c r="N97" s="22">
        <f>+210</f>
        <v>210</v>
      </c>
      <c r="O97" s="53">
        <f t="shared" si="5"/>
        <v>11558.09</v>
      </c>
      <c r="P97" s="49"/>
      <c r="Q97" s="28"/>
      <c r="R97" s="25"/>
      <c r="S97" s="66"/>
      <c r="T97" s="25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ht="12.75" customHeight="1">
      <c r="A98" s="2"/>
      <c r="B98" s="20" t="s">
        <v>101</v>
      </c>
      <c r="C98" s="21"/>
      <c r="D98" s="17"/>
      <c r="E98" s="4"/>
      <c r="F98" s="4"/>
      <c r="G98" s="17"/>
      <c r="H98" s="17"/>
      <c r="I98" s="22">
        <v>131.4</v>
      </c>
      <c r="J98" s="17"/>
      <c r="K98" s="17"/>
      <c r="L98" s="22"/>
      <c r="M98" s="22"/>
      <c r="N98" s="22"/>
      <c r="O98" s="53">
        <f t="shared" si="5"/>
        <v>131.4</v>
      </c>
      <c r="P98" s="49"/>
      <c r="Q98" s="28"/>
      <c r="R98" s="25"/>
      <c r="S98" s="66"/>
      <c r="T98" s="25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ht="12.75" customHeight="1">
      <c r="A99" s="2"/>
      <c r="B99" s="20" t="s">
        <v>102</v>
      </c>
      <c r="C99" s="21"/>
      <c r="D99" s="22">
        <f>57+84</f>
        <v>141</v>
      </c>
      <c r="E99" s="17"/>
      <c r="F99" s="22">
        <v>519.0</v>
      </c>
      <c r="G99" s="22"/>
      <c r="H99" s="22"/>
      <c r="I99" s="22">
        <f>303+57</f>
        <v>360</v>
      </c>
      <c r="J99" s="22">
        <v>30.0</v>
      </c>
      <c r="K99" s="17">
        <f>138+84</f>
        <v>222</v>
      </c>
      <c r="L99" s="17"/>
      <c r="M99" s="22">
        <v>57.0</v>
      </c>
      <c r="N99" s="17"/>
      <c r="O99" s="53">
        <f t="shared" si="5"/>
        <v>1329</v>
      </c>
      <c r="P99" s="49"/>
      <c r="Q99" s="28"/>
      <c r="R99" s="25"/>
      <c r="S99" s="66"/>
      <c r="T99" s="25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ht="12.75" customHeight="1">
      <c r="A100" s="2"/>
      <c r="B100" s="20" t="s">
        <v>103</v>
      </c>
      <c r="C100" s="21">
        <f>1082.1+6000+330</f>
        <v>7412.1</v>
      </c>
      <c r="D100" s="22">
        <f>+30000+2851.42+702</f>
        <v>33553.42</v>
      </c>
      <c r="E100" s="17">
        <f>503</f>
        <v>503</v>
      </c>
      <c r="F100" s="22">
        <f>625.19+4721.5+2225.8+4657.93</f>
        <v>12230.42</v>
      </c>
      <c r="G100" s="17"/>
      <c r="H100" s="17">
        <f>600+396.54+1090+684.17</f>
        <v>2770.71</v>
      </c>
      <c r="I100" s="17"/>
      <c r="J100" s="22">
        <v>115.0</v>
      </c>
      <c r="K100" s="22"/>
      <c r="L100" s="17"/>
      <c r="M100" s="17"/>
      <c r="N100" s="17"/>
      <c r="O100" s="53">
        <f t="shared" si="5"/>
        <v>56584.65</v>
      </c>
      <c r="P100" s="49"/>
      <c r="Q100" s="28"/>
      <c r="R100" s="25"/>
      <c r="S100" s="66"/>
      <c r="T100" s="25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ht="12.75" customHeight="1">
      <c r="A101" s="2"/>
      <c r="B101" s="20" t="s">
        <v>104</v>
      </c>
      <c r="C101" s="21"/>
      <c r="D101" s="22"/>
      <c r="E101" s="17"/>
      <c r="F101" s="22"/>
      <c r="G101" s="17"/>
      <c r="H101" s="17"/>
      <c r="I101" s="17"/>
      <c r="J101" s="22"/>
      <c r="K101" s="22">
        <f>2139.89+513.12+4717</f>
        <v>7370.01</v>
      </c>
      <c r="L101" s="17">
        <f>4336.74+214</f>
        <v>4550.74</v>
      </c>
      <c r="M101" s="17">
        <f>+448.36+278+505.5+170+57.8+214</f>
        <v>1673.66</v>
      </c>
      <c r="N101" s="22">
        <f>526+214</f>
        <v>740</v>
      </c>
      <c r="O101" s="53">
        <f t="shared" si="5"/>
        <v>14334.41</v>
      </c>
      <c r="P101" s="49"/>
      <c r="Q101" s="28"/>
      <c r="R101" s="25"/>
      <c r="S101" s="66"/>
      <c r="T101" s="25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ht="12.75" customHeight="1">
      <c r="A102" s="2"/>
      <c r="B102" s="20" t="s">
        <v>105</v>
      </c>
      <c r="C102" s="21"/>
      <c r="D102" s="22"/>
      <c r="E102" s="24"/>
      <c r="F102" s="24"/>
      <c r="G102" s="24"/>
      <c r="H102" s="22"/>
      <c r="I102" s="24"/>
      <c r="J102" s="24"/>
      <c r="K102" s="22"/>
      <c r="L102" s="17"/>
      <c r="M102" s="17"/>
      <c r="N102" s="17">
        <f>+22.4+55.12</f>
        <v>77.52</v>
      </c>
      <c r="O102" s="53">
        <f t="shared" si="5"/>
        <v>77.52</v>
      </c>
      <c r="P102" s="49"/>
      <c r="Q102" s="28"/>
      <c r="R102" s="25"/>
      <c r="S102" s="66"/>
      <c r="T102" s="25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ht="12.75" customHeight="1">
      <c r="A103" s="2"/>
      <c r="B103" s="20" t="s">
        <v>106</v>
      </c>
      <c r="C103" s="21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22">
        <v>248.64</v>
      </c>
      <c r="O103" s="53">
        <f t="shared" si="5"/>
        <v>248.64</v>
      </c>
      <c r="P103" s="49"/>
      <c r="Q103" s="28"/>
      <c r="R103" s="25"/>
      <c r="S103" s="66"/>
      <c r="T103" s="25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ht="12.75" customHeight="1">
      <c r="A104" s="2"/>
      <c r="B104" s="20" t="s">
        <v>107</v>
      </c>
      <c r="C104" s="21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53">
        <f t="shared" si="5"/>
        <v>0</v>
      </c>
      <c r="P104" s="2"/>
      <c r="Q104" s="28"/>
      <c r="R104" s="25"/>
      <c r="S104" s="66"/>
      <c r="T104" s="25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ht="12.75" customHeight="1">
      <c r="A105" s="2"/>
      <c r="B105" s="20" t="s">
        <v>108</v>
      </c>
      <c r="C105" s="21">
        <v>1400.0</v>
      </c>
      <c r="D105" s="17"/>
      <c r="E105" s="17">
        <f>469.64+174</f>
        <v>643.64</v>
      </c>
      <c r="F105" s="22">
        <v>208.68</v>
      </c>
      <c r="G105" s="17"/>
      <c r="H105" s="17"/>
      <c r="I105" s="22">
        <v>373.64</v>
      </c>
      <c r="J105" s="17"/>
      <c r="K105" s="17"/>
      <c r="L105" s="17">
        <f>2426.97+2654.42+622.31+1230.21+284.16</f>
        <v>7218.07</v>
      </c>
      <c r="M105" s="17">
        <f>1242.84+550+2229.47</f>
        <v>4022.31</v>
      </c>
      <c r="N105" s="17"/>
      <c r="O105" s="53">
        <f t="shared" si="5"/>
        <v>13866.34</v>
      </c>
      <c r="P105" s="49"/>
      <c r="Q105" s="28"/>
      <c r="R105" s="25"/>
      <c r="S105" s="66"/>
      <c r="T105" s="25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ht="12.75" customHeight="1">
      <c r="A106" s="2"/>
      <c r="B106" s="20" t="s">
        <v>109</v>
      </c>
      <c r="C106" s="21"/>
      <c r="D106" s="17"/>
      <c r="E106" s="17"/>
      <c r="F106" s="17"/>
      <c r="G106" s="17"/>
      <c r="H106" s="17"/>
      <c r="I106" s="22">
        <v>310.6</v>
      </c>
      <c r="J106" s="17"/>
      <c r="K106" s="17"/>
      <c r="L106" s="17"/>
      <c r="M106" s="17"/>
      <c r="N106" s="17"/>
      <c r="O106" s="53">
        <f t="shared" si="5"/>
        <v>310.6</v>
      </c>
      <c r="P106" s="49"/>
      <c r="Q106" s="28"/>
      <c r="R106" s="25"/>
      <c r="S106" s="66"/>
      <c r="T106" s="25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ht="12.75" customHeight="1">
      <c r="A107" s="2"/>
      <c r="B107" s="20" t="s">
        <v>110</v>
      </c>
      <c r="C107" s="21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53">
        <f t="shared" si="5"/>
        <v>0</v>
      </c>
      <c r="P107" s="2"/>
      <c r="Q107" s="28"/>
      <c r="R107" s="25"/>
      <c r="S107" s="66"/>
      <c r="T107" s="25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ht="12.75" customHeight="1">
      <c r="A108" s="2"/>
      <c r="B108" s="20" t="s">
        <v>68</v>
      </c>
      <c r="C108" s="21">
        <f>817.2+1455</f>
        <v>2272.2</v>
      </c>
      <c r="D108" s="17"/>
      <c r="E108" s="17"/>
      <c r="F108" s="17"/>
      <c r="G108" s="17">
        <f>+1088+1088</f>
        <v>2176</v>
      </c>
      <c r="H108" s="22">
        <f>1572.62+790+488+1222.65</f>
        <v>4073.27</v>
      </c>
      <c r="I108" s="17">
        <f>+2000+2020.45+543.92</f>
        <v>4564.37</v>
      </c>
      <c r="J108" s="22">
        <f>384.71+90</f>
        <v>474.71</v>
      </c>
      <c r="K108" s="22"/>
      <c r="L108" s="17">
        <f>869</f>
        <v>869</v>
      </c>
      <c r="M108" s="22">
        <f>676.73</f>
        <v>676.73</v>
      </c>
      <c r="N108" s="22">
        <f>+1645.5</f>
        <v>1645.5</v>
      </c>
      <c r="O108" s="53">
        <f t="shared" si="5"/>
        <v>16751.78</v>
      </c>
      <c r="P108" s="2"/>
      <c r="Q108" s="28"/>
      <c r="R108" s="25"/>
      <c r="S108" s="66"/>
      <c r="T108" s="25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ht="12.75" customHeight="1">
      <c r="A109" s="2"/>
      <c r="B109" s="20" t="s">
        <v>69</v>
      </c>
      <c r="C109" s="21">
        <v>385.41</v>
      </c>
      <c r="D109" s="22">
        <v>1250.0</v>
      </c>
      <c r="E109" s="22">
        <v>1360.0</v>
      </c>
      <c r="F109" s="22">
        <v>154.8</v>
      </c>
      <c r="G109" s="22">
        <f>131.76+360</f>
        <v>491.76</v>
      </c>
      <c r="H109" s="17"/>
      <c r="I109" s="22">
        <f>276.3+1059.1+774.09</f>
        <v>2109.49</v>
      </c>
      <c r="J109" s="17"/>
      <c r="K109" s="22">
        <v>600.0</v>
      </c>
      <c r="L109" s="22">
        <v>296.46</v>
      </c>
      <c r="M109" s="17"/>
      <c r="N109" s="22">
        <v>109.8</v>
      </c>
      <c r="O109" s="53">
        <f t="shared" si="5"/>
        <v>6757.72</v>
      </c>
      <c r="P109" s="2"/>
      <c r="Q109" s="28"/>
      <c r="R109" s="25"/>
      <c r="S109" s="66"/>
      <c r="T109" s="25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ht="12.75" customHeight="1">
      <c r="A110" s="2"/>
      <c r="B110" s="20" t="s">
        <v>111</v>
      </c>
      <c r="C110" s="21"/>
      <c r="D110" s="17"/>
      <c r="E110" s="17"/>
      <c r="F110" s="17"/>
      <c r="G110" s="17"/>
      <c r="H110" s="17"/>
      <c r="I110" s="17"/>
      <c r="J110" s="17"/>
      <c r="K110" s="17"/>
      <c r="L110" s="22"/>
      <c r="M110" s="17"/>
      <c r="N110" s="17"/>
      <c r="O110" s="53">
        <f t="shared" si="5"/>
        <v>0</v>
      </c>
      <c r="P110" s="2"/>
      <c r="Q110" s="28"/>
      <c r="R110" s="25"/>
      <c r="S110" s="66"/>
      <c r="T110" s="25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ht="12.75" customHeight="1">
      <c r="A111" s="2"/>
      <c r="B111" s="20" t="s">
        <v>112</v>
      </c>
      <c r="C111" s="21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53">
        <f t="shared" si="5"/>
        <v>0</v>
      </c>
      <c r="P111" s="2"/>
      <c r="Q111" s="28"/>
      <c r="R111" s="25"/>
      <c r="S111" s="66"/>
      <c r="T111" s="25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ht="12.75" customHeight="1">
      <c r="A112" s="2"/>
      <c r="B112" s="20" t="s">
        <v>113</v>
      </c>
      <c r="C112" s="21">
        <f>18205</f>
        <v>18205</v>
      </c>
      <c r="D112" s="17">
        <f>+12111.66</f>
        <v>12111.66</v>
      </c>
      <c r="E112" s="17">
        <f>+4446.12+4397.75</f>
        <v>8843.87</v>
      </c>
      <c r="F112" s="22">
        <v>4397.75</v>
      </c>
      <c r="G112" s="17"/>
      <c r="H112" s="17">
        <f>7206.94+2000+1800</f>
        <v>11006.94</v>
      </c>
      <c r="I112" s="17"/>
      <c r="J112" s="22"/>
      <c r="K112" s="22">
        <v>2776.0</v>
      </c>
      <c r="L112" s="22">
        <f>2664.07</f>
        <v>2664.07</v>
      </c>
      <c r="M112" s="22">
        <f>3550+147</f>
        <v>3697</v>
      </c>
      <c r="N112" s="17">
        <f>3550</f>
        <v>3550</v>
      </c>
      <c r="O112" s="53">
        <f t="shared" si="5"/>
        <v>67252.29</v>
      </c>
      <c r="P112" s="2"/>
      <c r="Q112" s="28"/>
      <c r="R112" s="25"/>
      <c r="S112" s="66"/>
      <c r="T112" s="25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ht="12.75" customHeight="1">
      <c r="A113" s="2"/>
      <c r="B113" s="20" t="s">
        <v>114</v>
      </c>
      <c r="C113" s="21"/>
      <c r="D113" s="17"/>
      <c r="E113" s="17"/>
      <c r="F113" s="17"/>
      <c r="G113" s="17"/>
      <c r="H113" s="22">
        <v>659.2</v>
      </c>
      <c r="I113" s="17"/>
      <c r="J113" s="17"/>
      <c r="K113" s="17"/>
      <c r="L113" s="17"/>
      <c r="M113" s="17"/>
      <c r="N113" s="17"/>
      <c r="O113" s="53">
        <f t="shared" si="5"/>
        <v>659.2</v>
      </c>
      <c r="P113" s="49"/>
      <c r="Q113" s="28"/>
      <c r="R113" s="25"/>
      <c r="S113" s="66"/>
      <c r="T113" s="25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ht="12.75" customHeight="1">
      <c r="A114" s="2"/>
      <c r="B114" s="20" t="s">
        <v>115</v>
      </c>
      <c r="C114" s="21"/>
      <c r="D114" s="17"/>
      <c r="E114" s="17"/>
      <c r="F114" s="17"/>
      <c r="G114" s="17"/>
      <c r="H114" s="22"/>
      <c r="I114" s="22"/>
      <c r="J114" s="17"/>
      <c r="K114" s="17"/>
      <c r="L114" s="17"/>
      <c r="M114" s="22"/>
      <c r="N114" s="22"/>
      <c r="O114" s="53">
        <f t="shared" si="5"/>
        <v>0</v>
      </c>
      <c r="P114" s="2"/>
      <c r="Q114" s="28"/>
      <c r="R114" s="25"/>
      <c r="S114" s="66"/>
      <c r="T114" s="25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ht="12.75" customHeight="1">
      <c r="A115" s="27" t="s">
        <v>116</v>
      </c>
      <c r="B115" s="20"/>
      <c r="C115" s="36"/>
      <c r="D115" s="17"/>
      <c r="E115" s="17"/>
      <c r="F115" s="17"/>
      <c r="G115" s="22"/>
      <c r="H115" s="17"/>
      <c r="I115" s="22"/>
      <c r="J115" s="17"/>
      <c r="K115" s="22"/>
      <c r="L115" s="17"/>
      <c r="M115" s="17"/>
      <c r="N115" s="22"/>
      <c r="O115" s="53">
        <f t="shared" si="5"/>
        <v>0</v>
      </c>
      <c r="P115" s="2"/>
      <c r="Q115" s="28"/>
      <c r="R115" s="25"/>
      <c r="S115" s="66"/>
      <c r="T115" s="25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ht="12.75" customHeight="1">
      <c r="A116" s="2"/>
      <c r="B116" s="20" t="s">
        <v>117</v>
      </c>
      <c r="C116" s="21">
        <f>64.82+67.25+5.18+5.18</f>
        <v>142.43</v>
      </c>
      <c r="D116" s="22">
        <f>71.82+67.25+10.91+1.75+1.75+1.75+1.75+3.5</f>
        <v>160.48</v>
      </c>
      <c r="E116" s="22">
        <f>5.18+8.13+71.82+9.5+1.75+1.75+3.5+21.49</f>
        <v>123.12</v>
      </c>
      <c r="F116" s="22">
        <f>71.82+49.25</f>
        <v>121.07</v>
      </c>
      <c r="G116" s="22">
        <f>3.61+71.82+23.25+10.95</f>
        <v>109.63</v>
      </c>
      <c r="H116" s="22">
        <f>3.51+71.82+27+5.69</f>
        <v>108.02</v>
      </c>
      <c r="I116" s="22">
        <f>71.07+63+11.38</f>
        <v>145.45</v>
      </c>
      <c r="J116" s="22">
        <f>75.72+45+5.69</f>
        <v>126.41</v>
      </c>
      <c r="K116" s="22">
        <f>75.72+23.2+5.69</f>
        <v>104.61</v>
      </c>
      <c r="L116" s="22">
        <f>75.72+30.05+5.69</f>
        <v>111.46</v>
      </c>
      <c r="M116" s="17">
        <f>75.72+18.5+61.61+100</f>
        <v>255.83</v>
      </c>
      <c r="N116" s="17">
        <f>5.69+75.72+64.75</f>
        <v>146.16</v>
      </c>
      <c r="O116" s="53">
        <f t="shared" si="5"/>
        <v>1654.67</v>
      </c>
      <c r="P116" s="49"/>
      <c r="Q116" s="28"/>
      <c r="R116" s="25"/>
      <c r="S116" s="66"/>
      <c r="T116" s="25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ht="12.75" customHeight="1">
      <c r="A117" s="2"/>
      <c r="B117" s="20" t="s">
        <v>118</v>
      </c>
      <c r="C117" s="21"/>
      <c r="D117" s="22"/>
      <c r="E117" s="22"/>
      <c r="F117" s="22"/>
      <c r="G117" s="22"/>
      <c r="H117" s="22"/>
      <c r="I117" s="22"/>
      <c r="J117" s="22"/>
      <c r="K117" s="22"/>
      <c r="L117" s="4"/>
      <c r="M117" s="4"/>
      <c r="N117" s="4"/>
      <c r="O117" s="53">
        <f t="shared" si="5"/>
        <v>0</v>
      </c>
      <c r="P117" s="2"/>
      <c r="Q117" s="28"/>
      <c r="R117" s="25"/>
      <c r="S117" s="66"/>
      <c r="T117" s="25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ht="12.75" customHeight="1">
      <c r="A118" s="68"/>
      <c r="B118" s="38" t="s">
        <v>14</v>
      </c>
      <c r="C118" s="39">
        <f t="shared" ref="C118:O118" si="6">SUM(C44:C117)</f>
        <v>43677.34</v>
      </c>
      <c r="D118" s="39">
        <f t="shared" si="6"/>
        <v>68312.79</v>
      </c>
      <c r="E118" s="39">
        <f t="shared" si="6"/>
        <v>37514.32</v>
      </c>
      <c r="F118" s="39">
        <f t="shared" si="6"/>
        <v>44583.09</v>
      </c>
      <c r="G118" s="39">
        <f t="shared" si="6"/>
        <v>30364.09</v>
      </c>
      <c r="H118" s="39">
        <f t="shared" si="6"/>
        <v>68759.7</v>
      </c>
      <c r="I118" s="39">
        <f t="shared" si="6"/>
        <v>34619.45</v>
      </c>
      <c r="J118" s="39">
        <f t="shared" si="6"/>
        <v>25688.52</v>
      </c>
      <c r="K118" s="39">
        <f t="shared" si="6"/>
        <v>40464.04</v>
      </c>
      <c r="L118" s="39">
        <f t="shared" si="6"/>
        <v>47395.78</v>
      </c>
      <c r="M118" s="39">
        <f t="shared" si="6"/>
        <v>41593.21</v>
      </c>
      <c r="N118" s="39">
        <f t="shared" si="6"/>
        <v>46003.27</v>
      </c>
      <c r="O118" s="39">
        <f t="shared" si="6"/>
        <v>528975.6</v>
      </c>
      <c r="P118" s="41"/>
      <c r="Q118" s="54"/>
      <c r="R118" s="69"/>
      <c r="S118" s="67"/>
      <c r="T118" s="69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</row>
    <row r="119" ht="12.75" customHeight="1">
      <c r="A119" s="2"/>
      <c r="B119" s="2"/>
      <c r="C119" s="3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5"/>
      <c r="P119" s="2"/>
      <c r="Q119" s="71"/>
      <c r="R119" s="25"/>
      <c r="S119" s="66"/>
      <c r="T119" s="25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ht="12.75" customHeight="1">
      <c r="A120" s="2"/>
      <c r="B120" s="2"/>
      <c r="C120" s="36">
        <f t="shared" ref="C120:O120" si="7">+C40-C118</f>
        <v>-24737.18</v>
      </c>
      <c r="D120" s="36">
        <f t="shared" si="7"/>
        <v>-54377.61</v>
      </c>
      <c r="E120" s="36">
        <f t="shared" si="7"/>
        <v>-9825.68</v>
      </c>
      <c r="F120" s="36">
        <f t="shared" si="7"/>
        <v>-33354.42</v>
      </c>
      <c r="G120" s="36">
        <f t="shared" si="7"/>
        <v>10954.7</v>
      </c>
      <c r="H120" s="36">
        <f t="shared" si="7"/>
        <v>-23073.3</v>
      </c>
      <c r="I120" s="36">
        <f t="shared" si="7"/>
        <v>12494.11</v>
      </c>
      <c r="J120" s="36">
        <f t="shared" si="7"/>
        <v>28324.9</v>
      </c>
      <c r="K120" s="36">
        <f t="shared" si="7"/>
        <v>64.68</v>
      </c>
      <c r="L120" s="36">
        <f t="shared" si="7"/>
        <v>2910.54</v>
      </c>
      <c r="M120" s="36">
        <f t="shared" si="7"/>
        <v>6083.2</v>
      </c>
      <c r="N120" s="36">
        <f t="shared" si="7"/>
        <v>-20146.22</v>
      </c>
      <c r="O120" s="36">
        <f t="shared" si="7"/>
        <v>-104682.28</v>
      </c>
      <c r="P120" s="2"/>
      <c r="Q120" s="71"/>
      <c r="R120" s="25"/>
      <c r="S120" s="25"/>
      <c r="T120" s="25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ht="12.75" customHeight="1">
      <c r="A121" s="2"/>
      <c r="B121" s="2"/>
      <c r="C121" s="46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5"/>
      <c r="P121" s="2"/>
      <c r="Q121" s="71"/>
      <c r="R121" s="25"/>
      <c r="S121" s="25"/>
      <c r="T121" s="25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ht="12.75" customHeight="1">
      <c r="A122" s="2"/>
      <c r="B122" s="2"/>
      <c r="C122" s="3"/>
      <c r="D122" s="3"/>
      <c r="E122" s="3"/>
      <c r="F122" s="3"/>
      <c r="G122" s="72"/>
      <c r="H122" s="3"/>
      <c r="I122" s="3"/>
      <c r="J122" s="3"/>
      <c r="K122" s="3"/>
      <c r="L122" s="3"/>
      <c r="M122" s="3"/>
      <c r="N122" s="3"/>
      <c r="O122" s="23"/>
      <c r="P122" s="2"/>
      <c r="Q122" s="71"/>
      <c r="R122" s="25"/>
      <c r="S122" s="25"/>
      <c r="T122" s="25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ht="12.75" customHeight="1">
      <c r="A123" s="2"/>
      <c r="B123" s="2"/>
      <c r="C123" s="73" t="s">
        <v>119</v>
      </c>
      <c r="D123" s="46"/>
      <c r="E123" s="74"/>
      <c r="F123" s="74"/>
      <c r="G123" s="74"/>
      <c r="H123" s="46"/>
      <c r="I123" s="74"/>
      <c r="J123" s="74"/>
      <c r="K123" s="74"/>
      <c r="L123" s="21"/>
      <c r="M123" s="73"/>
      <c r="N123" s="73"/>
      <c r="O123" s="46"/>
      <c r="P123" s="2"/>
      <c r="Q123" s="28"/>
      <c r="R123" s="25"/>
      <c r="S123" s="25"/>
      <c r="T123" s="25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ht="12.75" customHeight="1">
      <c r="A124" s="2"/>
      <c r="B124" s="3" t="s">
        <v>120</v>
      </c>
      <c r="C124" s="36">
        <v>124.29</v>
      </c>
      <c r="D124" s="4"/>
      <c r="E124" s="4"/>
      <c r="F124" s="4"/>
      <c r="G124" s="4"/>
      <c r="I124" s="55"/>
      <c r="J124" s="4"/>
      <c r="K124" s="22"/>
      <c r="L124" s="17"/>
      <c r="M124" s="17"/>
      <c r="N124" s="75"/>
      <c r="O124" s="17"/>
      <c r="P124" s="2"/>
      <c r="Q124" s="28"/>
      <c r="R124" s="25"/>
      <c r="S124" s="25"/>
      <c r="T124" s="25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ht="12.75" customHeight="1">
      <c r="A125" s="2"/>
      <c r="B125" s="3" t="s">
        <v>121</v>
      </c>
      <c r="C125" s="21">
        <v>23731.24</v>
      </c>
      <c r="D125" s="4"/>
      <c r="E125" s="4"/>
      <c r="F125" s="4"/>
      <c r="G125" s="4"/>
      <c r="I125" s="4"/>
      <c r="J125" s="4"/>
      <c r="K125" s="4"/>
      <c r="L125" s="22"/>
      <c r="M125" s="22"/>
      <c r="N125" s="22"/>
      <c r="O125" s="22"/>
      <c r="P125" s="76"/>
      <c r="Q125" s="28"/>
      <c r="R125" s="25"/>
      <c r="S125" s="25"/>
      <c r="T125" s="25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ht="12.75" customHeight="1">
      <c r="A126" s="2"/>
      <c r="B126" s="3" t="s">
        <v>122</v>
      </c>
      <c r="C126" s="21">
        <v>2337.82</v>
      </c>
      <c r="D126" s="4"/>
      <c r="E126" s="4"/>
      <c r="F126" s="4"/>
      <c r="G126" s="4"/>
      <c r="I126" s="4"/>
      <c r="J126" s="4"/>
      <c r="K126" s="4"/>
      <c r="L126" s="22"/>
      <c r="M126" s="22"/>
      <c r="N126" s="22"/>
      <c r="O126" s="22"/>
      <c r="P126" s="2"/>
      <c r="Q126" s="28"/>
      <c r="R126" s="25"/>
      <c r="S126" s="25"/>
      <c r="T126" s="25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ht="12.75" customHeight="1">
      <c r="A127" s="2"/>
      <c r="B127" s="3" t="s">
        <v>123</v>
      </c>
      <c r="C127" s="21">
        <v>295235.19</v>
      </c>
      <c r="D127" s="4"/>
      <c r="E127" s="4"/>
      <c r="F127" s="4"/>
      <c r="G127" s="4"/>
      <c r="I127" s="77"/>
      <c r="J127" s="4"/>
      <c r="K127" s="4"/>
      <c r="L127" s="22"/>
      <c r="M127" s="22"/>
      <c r="N127" s="22"/>
      <c r="O127" s="22"/>
      <c r="P127" s="2"/>
      <c r="Q127" s="28"/>
      <c r="R127" s="25"/>
      <c r="S127" s="25"/>
      <c r="T127" s="25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ht="12.75" customHeight="1">
      <c r="A128" s="2"/>
      <c r="B128" s="3" t="s">
        <v>124</v>
      </c>
      <c r="C128" s="21">
        <v>21196.76</v>
      </c>
      <c r="D128" s="4"/>
      <c r="E128" s="4"/>
      <c r="F128" s="4"/>
      <c r="G128" s="4"/>
      <c r="H128" s="4"/>
      <c r="I128" s="4"/>
      <c r="J128" s="4"/>
      <c r="K128" s="4"/>
      <c r="L128" s="22"/>
      <c r="M128" s="22"/>
      <c r="N128" s="22"/>
      <c r="O128" s="22"/>
      <c r="P128" s="2"/>
      <c r="Q128" s="28"/>
      <c r="R128" s="25"/>
      <c r="S128" s="25"/>
      <c r="T128" s="25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ht="12.75" customHeight="1">
      <c r="A129" s="2"/>
      <c r="B129" s="3" t="s">
        <v>125</v>
      </c>
      <c r="C129" s="78">
        <v>150.0</v>
      </c>
      <c r="D129" s="79"/>
      <c r="E129" s="79"/>
      <c r="F129" s="79"/>
      <c r="G129" s="79"/>
      <c r="H129" s="79"/>
      <c r="I129" s="79"/>
      <c r="J129" s="79"/>
      <c r="K129" s="79"/>
      <c r="L129" s="80"/>
      <c r="M129" s="80"/>
      <c r="N129" s="80"/>
      <c r="O129" s="80"/>
      <c r="P129" s="2"/>
      <c r="Q129" s="28"/>
      <c r="R129" s="25"/>
      <c r="S129" s="25"/>
      <c r="T129" s="25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ht="12.75" customHeight="1">
      <c r="A130" s="2"/>
      <c r="B130" s="81" t="s">
        <v>14</v>
      </c>
      <c r="C130" s="82">
        <f>SUM(C124:C129)</f>
        <v>342775.3</v>
      </c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2"/>
      <c r="Q130" s="28"/>
      <c r="R130" s="25"/>
      <c r="S130" s="25"/>
      <c r="T130" s="25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ht="12.75" customHeight="1">
      <c r="A131" s="2"/>
      <c r="B131" s="2"/>
      <c r="C131" s="3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5"/>
      <c r="P131" s="2"/>
      <c r="Q131" s="28"/>
      <c r="R131" s="25"/>
      <c r="S131" s="25"/>
      <c r="T131" s="25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ht="12.75" customHeight="1">
      <c r="A132" s="2"/>
      <c r="B132" s="2"/>
      <c r="C132" s="46" t="s">
        <v>126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24"/>
      <c r="O132" s="5"/>
      <c r="P132" s="2"/>
      <c r="Q132" s="28"/>
      <c r="R132" s="25"/>
      <c r="S132" s="25"/>
      <c r="T132" s="25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ht="12.75" customHeight="1">
      <c r="A133" s="2"/>
      <c r="B133" s="3" t="s">
        <v>120</v>
      </c>
      <c r="C133" s="83">
        <v>124.29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24"/>
      <c r="O133" s="5"/>
      <c r="P133" s="2"/>
      <c r="Q133" s="28"/>
      <c r="R133" s="25"/>
      <c r="S133" s="25"/>
      <c r="T133" s="25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ht="12.75" customHeight="1">
      <c r="A134" s="2"/>
      <c r="B134" s="3" t="s">
        <v>121</v>
      </c>
      <c r="C134" s="21">
        <v>6434.37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24"/>
      <c r="O134" s="5"/>
      <c r="P134" s="2"/>
      <c r="Q134" s="28"/>
      <c r="R134" s="25"/>
      <c r="S134" s="25"/>
      <c r="T134" s="25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ht="12.75" customHeight="1">
      <c r="A135" s="2"/>
      <c r="B135" s="3" t="s">
        <v>122</v>
      </c>
      <c r="C135" s="84">
        <v>2608.16</v>
      </c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5"/>
      <c r="P135" s="2"/>
      <c r="Q135" s="28"/>
      <c r="R135" s="25"/>
      <c r="S135" s="25"/>
      <c r="T135" s="25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ht="12.75" customHeight="1">
      <c r="A136" s="2"/>
      <c r="B136" s="3" t="s">
        <v>123</v>
      </c>
      <c r="C136" s="84">
        <v>207719.45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24"/>
      <c r="O136" s="5"/>
      <c r="P136" s="2"/>
      <c r="Q136" s="28"/>
      <c r="R136" s="25"/>
      <c r="S136" s="25"/>
      <c r="T136" s="25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ht="12.75" customHeight="1">
      <c r="A137" s="2"/>
      <c r="B137" s="3" t="s">
        <v>124</v>
      </c>
      <c r="C137" s="85">
        <v>21196.76</v>
      </c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5"/>
      <c r="P137" s="2"/>
      <c r="Q137" s="28"/>
      <c r="R137" s="25"/>
      <c r="S137" s="25"/>
      <c r="T137" s="25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ht="12.75" customHeight="1">
      <c r="A138" s="2"/>
      <c r="B138" s="3" t="s">
        <v>125</v>
      </c>
      <c r="C138" s="78">
        <v>10.0</v>
      </c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5"/>
      <c r="P138" s="2"/>
      <c r="Q138" s="28"/>
      <c r="R138" s="25"/>
      <c r="S138" s="25"/>
      <c r="T138" s="25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ht="12.75" customHeight="1">
      <c r="A139" s="2"/>
      <c r="B139" s="81" t="s">
        <v>14</v>
      </c>
      <c r="C139" s="82">
        <f>SUM(C133:C138)</f>
        <v>238093.03</v>
      </c>
      <c r="D139" s="4"/>
      <c r="E139" s="4"/>
      <c r="F139" s="24"/>
      <c r="G139" s="4"/>
      <c r="H139" s="4"/>
      <c r="I139" s="4"/>
      <c r="J139" s="4"/>
      <c r="K139" s="4"/>
      <c r="L139" s="4"/>
      <c r="M139" s="4"/>
      <c r="N139" s="4"/>
      <c r="O139" s="5"/>
      <c r="P139" s="2"/>
      <c r="Q139" s="28"/>
      <c r="R139" s="25"/>
      <c r="S139" s="25"/>
      <c r="T139" s="25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ht="12.75" customHeight="1">
      <c r="A140" s="2"/>
      <c r="B140" s="2"/>
      <c r="C140" s="3"/>
      <c r="D140" s="4"/>
      <c r="E140" s="4"/>
      <c r="F140" s="24"/>
      <c r="G140" s="4"/>
      <c r="H140" s="4"/>
      <c r="I140" s="4"/>
      <c r="J140" s="4"/>
      <c r="K140" s="4"/>
      <c r="L140" s="4"/>
      <c r="M140" s="4"/>
      <c r="N140" s="4"/>
      <c r="O140" s="5"/>
      <c r="P140" s="2"/>
      <c r="Q140" s="28"/>
      <c r="R140" s="25"/>
      <c r="S140" s="25"/>
      <c r="T140" s="25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ht="12.75" customHeight="1">
      <c r="A141" s="2"/>
      <c r="B141" s="2"/>
      <c r="C141" s="3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5"/>
      <c r="P141" s="2"/>
      <c r="Q141" s="28"/>
      <c r="R141" s="25"/>
      <c r="S141" s="25"/>
      <c r="T141" s="25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ht="12.75" customHeight="1">
      <c r="A142" s="2"/>
      <c r="B142" s="2"/>
      <c r="C142" s="3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5"/>
      <c r="P142" s="2"/>
      <c r="Q142" s="28"/>
      <c r="R142" s="25"/>
      <c r="S142" s="25"/>
      <c r="T142" s="25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ht="12.75" customHeight="1">
      <c r="A143" s="2"/>
      <c r="B143" s="2"/>
      <c r="C143" s="36">
        <f>C130+O120-C139</f>
        <v>-0.01000000007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5"/>
      <c r="P143" s="2"/>
      <c r="Q143" s="28"/>
      <c r="R143" s="25"/>
      <c r="S143" s="25"/>
      <c r="T143" s="25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ht="12.75" customHeight="1">
      <c r="A144" s="2"/>
      <c r="B144" s="2"/>
      <c r="C144" s="3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5"/>
      <c r="P144" s="2"/>
      <c r="Q144" s="28"/>
      <c r="R144" s="25"/>
      <c r="S144" s="25"/>
      <c r="T144" s="25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ht="12.75" customHeight="1">
      <c r="A145" s="2"/>
      <c r="B145" s="2"/>
      <c r="C145" s="3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5"/>
      <c r="P145" s="2"/>
      <c r="Q145" s="28"/>
      <c r="R145" s="25"/>
      <c r="S145" s="25"/>
      <c r="T145" s="25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ht="12.75" customHeight="1">
      <c r="A146" s="2"/>
      <c r="B146" s="2"/>
      <c r="C146" s="3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5"/>
      <c r="P146" s="2"/>
      <c r="Q146" s="28"/>
      <c r="R146" s="25"/>
      <c r="S146" s="25"/>
      <c r="T146" s="25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ht="12.75" customHeight="1">
      <c r="A147" s="2"/>
      <c r="B147" s="2"/>
      <c r="C147" s="3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5"/>
      <c r="P147" s="2"/>
      <c r="Q147" s="28"/>
      <c r="R147" s="25"/>
      <c r="S147" s="25"/>
      <c r="T147" s="25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ht="12.75" customHeight="1">
      <c r="A148" s="2"/>
      <c r="B148" s="2"/>
      <c r="C148" s="3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5"/>
      <c r="P148" s="2"/>
      <c r="Q148" s="28"/>
      <c r="R148" s="25"/>
      <c r="S148" s="25"/>
      <c r="T148" s="25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ht="12.75" customHeight="1">
      <c r="A149" s="2"/>
      <c r="B149" s="2"/>
      <c r="C149" s="3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5"/>
      <c r="P149" s="2"/>
      <c r="Q149" s="28"/>
      <c r="R149" s="25"/>
      <c r="S149" s="25"/>
      <c r="T149" s="25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ht="12.75" customHeight="1">
      <c r="A150" s="2"/>
      <c r="B150" s="2"/>
      <c r="C150" s="3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5"/>
      <c r="P150" s="2"/>
      <c r="Q150" s="28"/>
      <c r="R150" s="25"/>
      <c r="S150" s="25"/>
      <c r="T150" s="25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ht="12.75" customHeight="1">
      <c r="A151" s="2"/>
      <c r="B151" s="2"/>
      <c r="C151" s="3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5"/>
      <c r="P151" s="2"/>
      <c r="Q151" s="26"/>
      <c r="R151" s="25"/>
      <c r="S151" s="25"/>
      <c r="T151" s="25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ht="12.75" customHeight="1">
      <c r="A152" s="2"/>
      <c r="B152" s="2"/>
      <c r="C152" s="3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5"/>
      <c r="P152" s="2"/>
      <c r="Q152" s="26"/>
      <c r="R152" s="25"/>
      <c r="S152" s="25"/>
      <c r="T152" s="25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ht="12.75" customHeight="1">
      <c r="A153" s="2"/>
      <c r="B153" s="2"/>
      <c r="C153" s="3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5"/>
      <c r="P153" s="2"/>
      <c r="Q153" s="26"/>
      <c r="R153" s="25"/>
      <c r="S153" s="25"/>
      <c r="T153" s="25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ht="12.75" customHeight="1">
      <c r="A154" s="2"/>
      <c r="B154" s="2"/>
      <c r="C154" s="3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5"/>
      <c r="P154" s="2"/>
      <c r="Q154" s="26"/>
      <c r="R154" s="25"/>
      <c r="S154" s="25"/>
      <c r="T154" s="25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ht="12.75" customHeight="1">
      <c r="A155" s="2"/>
      <c r="B155" s="2"/>
      <c r="C155" s="3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5"/>
      <c r="P155" s="2"/>
      <c r="Q155" s="26"/>
      <c r="R155" s="25"/>
      <c r="S155" s="25"/>
      <c r="T155" s="25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ht="12.75" customHeight="1">
      <c r="A156" s="2"/>
      <c r="B156" s="2"/>
      <c r="C156" s="3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5"/>
      <c r="P156" s="2"/>
      <c r="Q156" s="26"/>
      <c r="R156" s="25"/>
      <c r="S156" s="25"/>
      <c r="T156" s="25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ht="12.75" customHeight="1">
      <c r="A157" s="2"/>
      <c r="B157" s="2"/>
      <c r="C157" s="3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5"/>
      <c r="P157" s="2"/>
      <c r="Q157" s="26"/>
      <c r="R157" s="25"/>
      <c r="S157" s="25"/>
      <c r="T157" s="25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ht="12.75" customHeight="1">
      <c r="A158" s="2"/>
      <c r="B158" s="2"/>
      <c r="C158" s="3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5"/>
      <c r="P158" s="2"/>
      <c r="Q158" s="6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ht="12.75" customHeight="1">
      <c r="A159" s="2"/>
      <c r="B159" s="2"/>
      <c r="C159" s="3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5"/>
      <c r="P159" s="2"/>
      <c r="Q159" s="6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ht="12.75" customHeight="1">
      <c r="A160" s="2"/>
      <c r="B160" s="2"/>
      <c r="C160" s="3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5"/>
      <c r="P160" s="2"/>
      <c r="Q160" s="6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ht="12.75" customHeight="1">
      <c r="A161" s="2"/>
      <c r="B161" s="2"/>
      <c r="C161" s="3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5"/>
      <c r="P161" s="2"/>
      <c r="Q161" s="6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ht="12.75" customHeight="1">
      <c r="A162" s="2"/>
      <c r="B162" s="2"/>
      <c r="C162" s="3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5"/>
      <c r="P162" s="2"/>
      <c r="Q162" s="6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ht="12.75" customHeight="1">
      <c r="A163" s="2"/>
      <c r="B163" s="2"/>
      <c r="C163" s="3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5"/>
      <c r="P163" s="2"/>
      <c r="Q163" s="6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ht="12.75" customHeight="1">
      <c r="A164" s="2"/>
      <c r="B164" s="2"/>
      <c r="C164" s="3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5"/>
      <c r="P164" s="2"/>
      <c r="Q164" s="6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ht="12.75" customHeight="1">
      <c r="A165" s="2"/>
      <c r="B165" s="2"/>
      <c r="C165" s="3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5"/>
      <c r="P165" s="2"/>
      <c r="Q165" s="6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ht="12.75" customHeight="1">
      <c r="A166" s="2"/>
      <c r="B166" s="2"/>
      <c r="C166" s="3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5"/>
      <c r="P166" s="2"/>
      <c r="Q166" s="6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ht="12.75" customHeight="1">
      <c r="A167" s="2"/>
      <c r="B167" s="2"/>
      <c r="C167" s="3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2"/>
      <c r="Q167" s="6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ht="12.75" customHeight="1">
      <c r="A168" s="2"/>
      <c r="B168" s="2"/>
      <c r="C168" s="3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5"/>
      <c r="P168" s="2"/>
      <c r="Q168" s="6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ht="12.75" customHeight="1">
      <c r="A169" s="2"/>
      <c r="B169" s="2"/>
      <c r="C169" s="3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5"/>
      <c r="P169" s="2"/>
      <c r="Q169" s="6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ht="12.75" customHeight="1">
      <c r="A170" s="2"/>
      <c r="B170" s="2"/>
      <c r="C170" s="3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5"/>
      <c r="P170" s="2"/>
      <c r="Q170" s="6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ht="12.75" customHeight="1">
      <c r="A171" s="2"/>
      <c r="B171" s="2"/>
      <c r="C171" s="3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5"/>
      <c r="P171" s="2"/>
      <c r="Q171" s="6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ht="12.75" customHeight="1">
      <c r="A172" s="2"/>
      <c r="B172" s="2"/>
      <c r="C172" s="3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5"/>
      <c r="P172" s="2"/>
      <c r="Q172" s="6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ht="12.75" customHeight="1">
      <c r="A173" s="2"/>
      <c r="B173" s="2"/>
      <c r="C173" s="3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5"/>
      <c r="P173" s="2"/>
      <c r="Q173" s="6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ht="12.75" customHeight="1">
      <c r="A174" s="2"/>
      <c r="B174" s="2"/>
      <c r="C174" s="3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5"/>
      <c r="P174" s="2"/>
      <c r="Q174" s="6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ht="12.75" customHeight="1">
      <c r="A175" s="2"/>
      <c r="B175" s="2"/>
      <c r="C175" s="3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5"/>
      <c r="P175" s="2"/>
      <c r="Q175" s="6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ht="12.75" customHeight="1">
      <c r="A176" s="2"/>
      <c r="B176" s="2"/>
      <c r="C176" s="3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5"/>
      <c r="P176" s="2"/>
      <c r="Q176" s="6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ht="12.75" customHeight="1">
      <c r="A177" s="2"/>
      <c r="B177" s="2"/>
      <c r="C177" s="3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5"/>
      <c r="P177" s="2"/>
      <c r="Q177" s="6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ht="12.75" customHeight="1">
      <c r="A178" s="2"/>
      <c r="B178" s="2"/>
      <c r="C178" s="3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5"/>
      <c r="P178" s="2"/>
      <c r="Q178" s="6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ht="12.75" customHeight="1">
      <c r="A179" s="2"/>
      <c r="B179" s="2"/>
      <c r="C179" s="3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5"/>
      <c r="P179" s="2"/>
      <c r="Q179" s="6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ht="12.75" customHeight="1">
      <c r="A180" s="2"/>
      <c r="B180" s="2"/>
      <c r="C180" s="3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5"/>
      <c r="P180" s="2"/>
      <c r="Q180" s="6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ht="12.75" customHeight="1">
      <c r="A181" s="2"/>
      <c r="B181" s="2"/>
      <c r="C181" s="3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5"/>
      <c r="P181" s="2"/>
      <c r="Q181" s="6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ht="12.75" customHeight="1">
      <c r="A182" s="2"/>
      <c r="B182" s="2"/>
      <c r="C182" s="3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5"/>
      <c r="P182" s="2"/>
      <c r="Q182" s="6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ht="12.75" customHeight="1">
      <c r="A183" s="2"/>
      <c r="B183" s="2"/>
      <c r="C183" s="3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5"/>
      <c r="P183" s="2"/>
      <c r="Q183" s="6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ht="12.75" customHeight="1">
      <c r="A184" s="2"/>
      <c r="B184" s="2"/>
      <c r="C184" s="3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5"/>
      <c r="P184" s="2"/>
      <c r="Q184" s="6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ht="12.75" customHeight="1">
      <c r="A185" s="2"/>
      <c r="B185" s="2"/>
      <c r="C185" s="3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5"/>
      <c r="P185" s="2"/>
      <c r="Q185" s="6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ht="12.75" customHeight="1">
      <c r="A186" s="2"/>
      <c r="B186" s="2"/>
      <c r="C186" s="3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5"/>
      <c r="P186" s="2"/>
      <c r="Q186" s="6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ht="12.75" customHeight="1">
      <c r="A187" s="2"/>
      <c r="B187" s="2"/>
      <c r="C187" s="3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5"/>
      <c r="P187" s="2"/>
      <c r="Q187" s="6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ht="12.75" customHeight="1">
      <c r="A188" s="2"/>
      <c r="B188" s="2"/>
      <c r="C188" s="3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5"/>
      <c r="P188" s="2"/>
      <c r="Q188" s="6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ht="12.75" customHeight="1">
      <c r="A189" s="2"/>
      <c r="B189" s="2"/>
      <c r="C189" s="3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5"/>
      <c r="P189" s="2"/>
      <c r="Q189" s="6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ht="12.75" customHeight="1">
      <c r="A190" s="2"/>
      <c r="B190" s="2"/>
      <c r="C190" s="3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5"/>
      <c r="P190" s="2"/>
      <c r="Q190" s="6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ht="12.75" customHeight="1">
      <c r="A191" s="2"/>
      <c r="B191" s="2"/>
      <c r="C191" s="3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5"/>
      <c r="P191" s="2"/>
      <c r="Q191" s="6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ht="12.75" customHeight="1">
      <c r="A192" s="2"/>
      <c r="B192" s="2"/>
      <c r="C192" s="3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5"/>
      <c r="P192" s="2"/>
      <c r="Q192" s="6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ht="12.75" customHeight="1">
      <c r="A193" s="2"/>
      <c r="B193" s="2"/>
      <c r="C193" s="3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5"/>
      <c r="P193" s="2"/>
      <c r="Q193" s="6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ht="12.75" customHeight="1">
      <c r="A194" s="2"/>
      <c r="B194" s="2"/>
      <c r="C194" s="3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5"/>
      <c r="P194" s="2"/>
      <c r="Q194" s="6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ht="12.75" customHeight="1">
      <c r="A195" s="2"/>
      <c r="B195" s="2"/>
      <c r="C195" s="3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5"/>
      <c r="P195" s="2"/>
      <c r="Q195" s="6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ht="12.75" customHeight="1">
      <c r="A196" s="2"/>
      <c r="B196" s="2"/>
      <c r="C196" s="3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5"/>
      <c r="P196" s="2"/>
      <c r="Q196" s="6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ht="12.75" customHeight="1">
      <c r="A197" s="2"/>
      <c r="B197" s="2"/>
      <c r="C197" s="3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5"/>
      <c r="P197" s="2"/>
      <c r="Q197" s="6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ht="12.75" customHeight="1">
      <c r="A198" s="2"/>
      <c r="B198" s="2"/>
      <c r="C198" s="3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5"/>
      <c r="P198" s="2"/>
      <c r="Q198" s="6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ht="12.75" customHeight="1">
      <c r="A199" s="2"/>
      <c r="B199" s="2"/>
      <c r="C199" s="3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5"/>
      <c r="P199" s="2"/>
      <c r="Q199" s="6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ht="12.75" customHeight="1">
      <c r="A200" s="2"/>
      <c r="B200" s="2"/>
      <c r="C200" s="3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5"/>
      <c r="P200" s="2"/>
      <c r="Q200" s="6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ht="12.75" customHeight="1">
      <c r="A201" s="2"/>
      <c r="B201" s="2"/>
      <c r="C201" s="3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5"/>
      <c r="P201" s="2"/>
      <c r="Q201" s="6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ht="12.75" customHeight="1">
      <c r="A202" s="2"/>
      <c r="B202" s="2"/>
      <c r="C202" s="3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5"/>
      <c r="P202" s="2"/>
      <c r="Q202" s="6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ht="12.75" customHeight="1">
      <c r="A203" s="2"/>
      <c r="B203" s="2"/>
      <c r="C203" s="3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5"/>
      <c r="P203" s="2"/>
      <c r="Q203" s="6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ht="12.75" customHeight="1">
      <c r="A204" s="2"/>
      <c r="B204" s="2"/>
      <c r="C204" s="3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5"/>
      <c r="P204" s="2"/>
      <c r="Q204" s="6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ht="12.75" customHeight="1">
      <c r="A205" s="2"/>
      <c r="B205" s="2"/>
      <c r="C205" s="3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5"/>
      <c r="P205" s="2"/>
      <c r="Q205" s="6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ht="12.75" customHeight="1">
      <c r="A206" s="2"/>
      <c r="B206" s="2"/>
      <c r="C206" s="3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5"/>
      <c r="P206" s="2"/>
      <c r="Q206" s="6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ht="12.75" customHeight="1">
      <c r="A207" s="2"/>
      <c r="B207" s="2"/>
      <c r="C207" s="3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5"/>
      <c r="P207" s="2"/>
      <c r="Q207" s="6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ht="12.75" customHeight="1">
      <c r="A208" s="2"/>
      <c r="B208" s="2"/>
      <c r="C208" s="3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5"/>
      <c r="P208" s="2"/>
      <c r="Q208" s="6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ht="12.75" customHeight="1">
      <c r="A209" s="2"/>
      <c r="B209" s="2"/>
      <c r="C209" s="3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5"/>
      <c r="P209" s="2"/>
      <c r="Q209" s="6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ht="12.75" customHeight="1">
      <c r="A210" s="2"/>
      <c r="B210" s="2"/>
      <c r="C210" s="3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5"/>
      <c r="P210" s="2"/>
      <c r="Q210" s="6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ht="12.75" customHeight="1">
      <c r="A211" s="2"/>
      <c r="B211" s="2"/>
      <c r="C211" s="3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5"/>
      <c r="P211" s="2"/>
      <c r="Q211" s="6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ht="12.75" customHeight="1">
      <c r="A212" s="2"/>
      <c r="B212" s="2"/>
      <c r="C212" s="3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5"/>
      <c r="P212" s="2"/>
      <c r="Q212" s="6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ht="12.75" customHeight="1">
      <c r="A213" s="2"/>
      <c r="B213" s="2"/>
      <c r="C213" s="3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5"/>
      <c r="P213" s="2"/>
      <c r="Q213" s="6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ht="12.75" customHeight="1">
      <c r="A214" s="2"/>
      <c r="B214" s="2"/>
      <c r="C214" s="3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5"/>
      <c r="P214" s="2"/>
      <c r="Q214" s="6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ht="12.75" customHeight="1">
      <c r="A215" s="2"/>
      <c r="B215" s="2"/>
      <c r="C215" s="3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5"/>
      <c r="P215" s="2"/>
      <c r="Q215" s="6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ht="12.75" customHeight="1">
      <c r="A216" s="2"/>
      <c r="B216" s="2"/>
      <c r="C216" s="3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5"/>
      <c r="P216" s="2"/>
      <c r="Q216" s="6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ht="12.75" customHeight="1">
      <c r="A217" s="2"/>
      <c r="B217" s="2"/>
      <c r="C217" s="3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5"/>
      <c r="P217" s="2"/>
      <c r="Q217" s="6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ht="12.75" customHeight="1">
      <c r="A218" s="2"/>
      <c r="B218" s="2"/>
      <c r="C218" s="3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5"/>
      <c r="P218" s="2"/>
      <c r="Q218" s="6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ht="12.75" customHeight="1">
      <c r="A219" s="2"/>
      <c r="B219" s="2"/>
      <c r="C219" s="3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5"/>
      <c r="P219" s="2"/>
      <c r="Q219" s="6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ht="12.75" customHeight="1">
      <c r="A220" s="2"/>
      <c r="B220" s="2"/>
      <c r="C220" s="3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5"/>
      <c r="P220" s="2"/>
      <c r="Q220" s="6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ht="12.75" customHeight="1">
      <c r="A221" s="2"/>
      <c r="B221" s="2"/>
      <c r="C221" s="3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5"/>
      <c r="P221" s="2"/>
      <c r="Q221" s="6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ht="12.75" customHeight="1">
      <c r="A222" s="2"/>
      <c r="B222" s="2"/>
      <c r="C222" s="3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5"/>
      <c r="P222" s="2"/>
      <c r="Q222" s="6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ht="12.75" customHeight="1">
      <c r="A223" s="2"/>
      <c r="B223" s="2"/>
      <c r="C223" s="3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5"/>
      <c r="P223" s="2"/>
      <c r="Q223" s="6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ht="12.75" customHeight="1">
      <c r="A224" s="2"/>
      <c r="B224" s="2"/>
      <c r="C224" s="3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5"/>
      <c r="P224" s="2"/>
      <c r="Q224" s="6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ht="12.75" customHeight="1">
      <c r="A225" s="2"/>
      <c r="B225" s="2"/>
      <c r="C225" s="3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5"/>
      <c r="P225" s="2"/>
      <c r="Q225" s="6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ht="12.75" customHeight="1">
      <c r="A226" s="2"/>
      <c r="B226" s="2"/>
      <c r="C226" s="3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5"/>
      <c r="P226" s="2"/>
      <c r="Q226" s="6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ht="12.75" customHeight="1">
      <c r="A227" s="2"/>
      <c r="B227" s="2"/>
      <c r="C227" s="3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5"/>
      <c r="P227" s="2"/>
      <c r="Q227" s="6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ht="12.75" customHeight="1">
      <c r="A228" s="2"/>
      <c r="B228" s="2"/>
      <c r="C228" s="3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5"/>
      <c r="P228" s="2"/>
      <c r="Q228" s="6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ht="12.75" customHeight="1">
      <c r="A229" s="2"/>
      <c r="B229" s="2"/>
      <c r="C229" s="3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5"/>
      <c r="P229" s="2"/>
      <c r="Q229" s="6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ht="12.75" customHeight="1">
      <c r="A230" s="2"/>
      <c r="B230" s="2"/>
      <c r="C230" s="3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5"/>
      <c r="P230" s="2"/>
      <c r="Q230" s="6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ht="12.75" customHeight="1">
      <c r="A231" s="2"/>
      <c r="B231" s="2"/>
      <c r="C231" s="3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5"/>
      <c r="P231" s="2"/>
      <c r="Q231" s="6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ht="12.75" customHeight="1">
      <c r="A232" s="2"/>
      <c r="B232" s="2"/>
      <c r="C232" s="3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5"/>
      <c r="P232" s="2"/>
      <c r="Q232" s="6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ht="12.75" customHeight="1">
      <c r="A233" s="2"/>
      <c r="B233" s="2"/>
      <c r="C233" s="3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5"/>
      <c r="P233" s="2"/>
      <c r="Q233" s="6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ht="12.75" customHeight="1">
      <c r="A234" s="2"/>
      <c r="B234" s="2"/>
      <c r="C234" s="3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5"/>
      <c r="P234" s="2"/>
      <c r="Q234" s="6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ht="12.75" customHeight="1">
      <c r="A235" s="2"/>
      <c r="B235" s="2"/>
      <c r="C235" s="3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5"/>
      <c r="P235" s="2"/>
      <c r="Q235" s="6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ht="12.75" customHeight="1">
      <c r="A236" s="2"/>
      <c r="B236" s="2"/>
      <c r="C236" s="3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5"/>
      <c r="P236" s="2"/>
      <c r="Q236" s="6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ht="12.75" customHeight="1">
      <c r="A237" s="2"/>
      <c r="B237" s="2"/>
      <c r="C237" s="3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5"/>
      <c r="P237" s="2"/>
      <c r="Q237" s="6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ht="12.75" customHeight="1">
      <c r="A238" s="2"/>
      <c r="B238" s="2"/>
      <c r="C238" s="3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5"/>
      <c r="P238" s="2"/>
      <c r="Q238" s="6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ht="12.75" customHeight="1">
      <c r="A239" s="2"/>
      <c r="B239" s="2"/>
      <c r="C239" s="3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5"/>
      <c r="P239" s="2"/>
      <c r="Q239" s="6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ht="12.75" customHeight="1">
      <c r="A240" s="2"/>
      <c r="B240" s="2"/>
      <c r="C240" s="3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5"/>
      <c r="P240" s="2"/>
      <c r="Q240" s="6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ht="12.75" customHeight="1">
      <c r="A241" s="2"/>
      <c r="B241" s="2"/>
      <c r="C241" s="3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5"/>
      <c r="P241" s="2"/>
      <c r="Q241" s="6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ht="12.75" customHeight="1">
      <c r="A242" s="2"/>
      <c r="B242" s="2"/>
      <c r="C242" s="3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5"/>
      <c r="P242" s="2"/>
      <c r="Q242" s="6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ht="12.75" customHeight="1">
      <c r="A243" s="2"/>
      <c r="B243" s="2"/>
      <c r="C243" s="3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5"/>
      <c r="P243" s="2"/>
      <c r="Q243" s="6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ht="12.75" customHeight="1">
      <c r="A244" s="2"/>
      <c r="B244" s="2"/>
      <c r="C244" s="3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5"/>
      <c r="P244" s="2"/>
      <c r="Q244" s="6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ht="12.75" customHeight="1">
      <c r="A245" s="2"/>
      <c r="B245" s="2"/>
      <c r="C245" s="3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5"/>
      <c r="P245" s="2"/>
      <c r="Q245" s="6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ht="12.75" customHeight="1">
      <c r="A246" s="2"/>
      <c r="B246" s="2"/>
      <c r="C246" s="3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5"/>
      <c r="P246" s="2"/>
      <c r="Q246" s="6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ht="12.75" customHeight="1">
      <c r="A247" s="2"/>
      <c r="B247" s="2"/>
      <c r="C247" s="3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5"/>
      <c r="P247" s="2"/>
      <c r="Q247" s="6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ht="12.75" customHeight="1">
      <c r="A248" s="2"/>
      <c r="B248" s="2"/>
      <c r="C248" s="3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5"/>
      <c r="P248" s="2"/>
      <c r="Q248" s="6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ht="12.75" customHeight="1">
      <c r="A249" s="2"/>
      <c r="B249" s="2"/>
      <c r="C249" s="3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5"/>
      <c r="P249" s="2"/>
      <c r="Q249" s="6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ht="12.75" customHeight="1">
      <c r="A250" s="2"/>
      <c r="B250" s="2"/>
      <c r="C250" s="3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5"/>
      <c r="P250" s="2"/>
      <c r="Q250" s="6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ht="12.75" customHeight="1">
      <c r="A251" s="2"/>
      <c r="B251" s="2"/>
      <c r="C251" s="3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5"/>
      <c r="P251" s="2"/>
      <c r="Q251" s="6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ht="12.75" customHeight="1">
      <c r="A252" s="2"/>
      <c r="B252" s="2"/>
      <c r="C252" s="3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5"/>
      <c r="P252" s="2"/>
      <c r="Q252" s="6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ht="12.75" customHeight="1">
      <c r="A253" s="2"/>
      <c r="B253" s="2"/>
      <c r="C253" s="3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5"/>
      <c r="P253" s="2"/>
      <c r="Q253" s="6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ht="12.75" customHeight="1">
      <c r="A254" s="2"/>
      <c r="B254" s="2"/>
      <c r="C254" s="3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5"/>
      <c r="P254" s="2"/>
      <c r="Q254" s="6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ht="12.75" customHeight="1">
      <c r="A255" s="2"/>
      <c r="B255" s="2"/>
      <c r="C255" s="3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5"/>
      <c r="P255" s="2"/>
      <c r="Q255" s="6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ht="12.75" customHeight="1">
      <c r="A256" s="2"/>
      <c r="B256" s="2"/>
      <c r="C256" s="3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5"/>
      <c r="P256" s="2"/>
      <c r="Q256" s="6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ht="12.75" customHeight="1">
      <c r="A257" s="2"/>
      <c r="B257" s="2"/>
      <c r="C257" s="3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5"/>
      <c r="P257" s="2"/>
      <c r="Q257" s="6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ht="12.75" customHeight="1">
      <c r="A258" s="2"/>
      <c r="B258" s="2"/>
      <c r="C258" s="3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5"/>
      <c r="P258" s="2"/>
      <c r="Q258" s="6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ht="12.75" customHeight="1">
      <c r="A259" s="2"/>
      <c r="B259" s="2"/>
      <c r="C259" s="3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5"/>
      <c r="P259" s="2"/>
      <c r="Q259" s="6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ht="12.75" customHeight="1">
      <c r="A260" s="2"/>
      <c r="B260" s="2"/>
      <c r="C260" s="3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5"/>
      <c r="P260" s="2"/>
      <c r="Q260" s="6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ht="12.75" customHeight="1">
      <c r="A261" s="2"/>
      <c r="B261" s="2"/>
      <c r="C261" s="3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5"/>
      <c r="P261" s="2"/>
      <c r="Q261" s="6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ht="12.75" customHeight="1">
      <c r="A262" s="2"/>
      <c r="B262" s="2"/>
      <c r="C262" s="3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5"/>
      <c r="P262" s="2"/>
      <c r="Q262" s="6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ht="12.75" customHeight="1">
      <c r="A263" s="2"/>
      <c r="B263" s="2"/>
      <c r="C263" s="3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5"/>
      <c r="P263" s="2"/>
      <c r="Q263" s="6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ht="12.75" customHeight="1">
      <c r="A264" s="2"/>
      <c r="B264" s="2"/>
      <c r="C264" s="3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5"/>
      <c r="P264" s="2"/>
      <c r="Q264" s="6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ht="12.75" customHeight="1">
      <c r="A265" s="2"/>
      <c r="B265" s="2"/>
      <c r="C265" s="3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5"/>
      <c r="P265" s="2"/>
      <c r="Q265" s="6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ht="12.75" customHeight="1">
      <c r="A266" s="2"/>
      <c r="B266" s="2"/>
      <c r="C266" s="3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5"/>
      <c r="P266" s="2"/>
      <c r="Q266" s="6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ht="12.75" customHeight="1">
      <c r="A267" s="2"/>
      <c r="B267" s="2"/>
      <c r="C267" s="3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5"/>
      <c r="P267" s="2"/>
      <c r="Q267" s="6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ht="12.75" customHeight="1">
      <c r="A268" s="2"/>
      <c r="B268" s="2"/>
      <c r="C268" s="3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5"/>
      <c r="P268" s="2"/>
      <c r="Q268" s="6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ht="12.75" customHeight="1">
      <c r="A269" s="2"/>
      <c r="B269" s="2"/>
      <c r="C269" s="3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5"/>
      <c r="P269" s="2"/>
      <c r="Q269" s="6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ht="12.75" customHeight="1">
      <c r="A270" s="2"/>
      <c r="B270" s="2"/>
      <c r="C270" s="3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5"/>
      <c r="P270" s="2"/>
      <c r="Q270" s="6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ht="12.75" customHeight="1">
      <c r="A271" s="2"/>
      <c r="B271" s="2"/>
      <c r="C271" s="3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5"/>
      <c r="P271" s="2"/>
      <c r="Q271" s="6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ht="12.75" customHeight="1">
      <c r="A272" s="2"/>
      <c r="B272" s="2"/>
      <c r="C272" s="3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5"/>
      <c r="P272" s="2"/>
      <c r="Q272" s="6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ht="12.75" customHeight="1">
      <c r="A273" s="2"/>
      <c r="B273" s="2"/>
      <c r="C273" s="3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5"/>
      <c r="P273" s="2"/>
      <c r="Q273" s="6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ht="12.75" customHeight="1">
      <c r="A274" s="2"/>
      <c r="B274" s="2"/>
      <c r="C274" s="3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5"/>
      <c r="P274" s="2"/>
      <c r="Q274" s="6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ht="12.75" customHeight="1">
      <c r="A275" s="2"/>
      <c r="B275" s="2"/>
      <c r="C275" s="3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5"/>
      <c r="P275" s="2"/>
      <c r="Q275" s="6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ht="12.75" customHeight="1">
      <c r="A276" s="2"/>
      <c r="B276" s="2"/>
      <c r="C276" s="3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5"/>
      <c r="P276" s="2"/>
      <c r="Q276" s="6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ht="12.75" customHeight="1">
      <c r="A277" s="2"/>
      <c r="B277" s="2"/>
      <c r="C277" s="3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5"/>
      <c r="P277" s="2"/>
      <c r="Q277" s="6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ht="12.75" customHeight="1">
      <c r="A278" s="2"/>
      <c r="B278" s="2"/>
      <c r="C278" s="3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5"/>
      <c r="P278" s="2"/>
      <c r="Q278" s="6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ht="12.75" customHeight="1">
      <c r="A279" s="2"/>
      <c r="B279" s="2"/>
      <c r="C279" s="3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5"/>
      <c r="P279" s="2"/>
      <c r="Q279" s="6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ht="12.75" customHeight="1">
      <c r="A280" s="2"/>
      <c r="B280" s="2"/>
      <c r="C280" s="3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5"/>
      <c r="P280" s="2"/>
      <c r="Q280" s="6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ht="12.75" customHeight="1">
      <c r="A281" s="2"/>
      <c r="B281" s="2"/>
      <c r="C281" s="3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5"/>
      <c r="P281" s="2"/>
      <c r="Q281" s="6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ht="12.75" customHeight="1">
      <c r="A282" s="2"/>
      <c r="B282" s="2"/>
      <c r="C282" s="3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5"/>
      <c r="P282" s="2"/>
      <c r="Q282" s="6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ht="12.75" customHeight="1">
      <c r="A283" s="2"/>
      <c r="B283" s="2"/>
      <c r="C283" s="3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5"/>
      <c r="P283" s="2"/>
      <c r="Q283" s="6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ht="12.75" customHeight="1">
      <c r="A284" s="2"/>
      <c r="B284" s="2"/>
      <c r="C284" s="3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5"/>
      <c r="P284" s="2"/>
      <c r="Q284" s="6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ht="12.75" customHeight="1">
      <c r="A285" s="2"/>
      <c r="B285" s="2"/>
      <c r="C285" s="3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5"/>
      <c r="P285" s="2"/>
      <c r="Q285" s="6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ht="12.75" customHeight="1">
      <c r="A286" s="2"/>
      <c r="B286" s="2"/>
      <c r="C286" s="3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5"/>
      <c r="P286" s="2"/>
      <c r="Q286" s="6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ht="12.75" customHeight="1">
      <c r="A287" s="2"/>
      <c r="B287" s="2"/>
      <c r="C287" s="3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5"/>
      <c r="P287" s="2"/>
      <c r="Q287" s="6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ht="12.75" customHeight="1">
      <c r="A288" s="2"/>
      <c r="B288" s="2"/>
      <c r="C288" s="3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5"/>
      <c r="P288" s="2"/>
      <c r="Q288" s="6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ht="12.75" customHeight="1">
      <c r="A289" s="2"/>
      <c r="B289" s="2"/>
      <c r="C289" s="3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5"/>
      <c r="P289" s="2"/>
      <c r="Q289" s="6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ht="12.75" customHeight="1">
      <c r="A290" s="2"/>
      <c r="B290" s="2"/>
      <c r="C290" s="3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5"/>
      <c r="P290" s="2"/>
      <c r="Q290" s="6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ht="12.75" customHeight="1">
      <c r="A291" s="2"/>
      <c r="B291" s="2"/>
      <c r="C291" s="3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5"/>
      <c r="P291" s="2"/>
      <c r="Q291" s="6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ht="12.75" customHeight="1">
      <c r="A292" s="2"/>
      <c r="B292" s="2"/>
      <c r="C292" s="3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5"/>
      <c r="P292" s="2"/>
      <c r="Q292" s="6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ht="12.75" customHeight="1">
      <c r="A293" s="2"/>
      <c r="B293" s="2"/>
      <c r="C293" s="3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5"/>
      <c r="P293" s="2"/>
      <c r="Q293" s="6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ht="12.75" customHeight="1">
      <c r="A294" s="2"/>
      <c r="B294" s="2"/>
      <c r="C294" s="3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5"/>
      <c r="P294" s="2"/>
      <c r="Q294" s="6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ht="12.75" customHeight="1">
      <c r="A295" s="2"/>
      <c r="B295" s="2"/>
      <c r="C295" s="3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5"/>
      <c r="P295" s="2"/>
      <c r="Q295" s="6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ht="12.75" customHeight="1">
      <c r="A296" s="2"/>
      <c r="B296" s="2"/>
      <c r="C296" s="3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5"/>
      <c r="P296" s="2"/>
      <c r="Q296" s="6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ht="12.75" customHeight="1">
      <c r="A297" s="2"/>
      <c r="B297" s="2"/>
      <c r="C297" s="3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5"/>
      <c r="P297" s="2"/>
      <c r="Q297" s="6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ht="12.75" customHeight="1">
      <c r="A298" s="2"/>
      <c r="B298" s="2"/>
      <c r="C298" s="3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5"/>
      <c r="P298" s="2"/>
      <c r="Q298" s="6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ht="12.75" customHeight="1">
      <c r="A299" s="2"/>
      <c r="B299" s="2"/>
      <c r="C299" s="3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5"/>
      <c r="P299" s="2"/>
      <c r="Q299" s="6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ht="12.75" customHeight="1">
      <c r="A300" s="2"/>
      <c r="B300" s="2"/>
      <c r="C300" s="3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5"/>
      <c r="P300" s="2"/>
      <c r="Q300" s="6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ht="12.75" customHeight="1">
      <c r="A301" s="2"/>
      <c r="B301" s="2"/>
      <c r="C301" s="3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5"/>
      <c r="P301" s="2"/>
      <c r="Q301" s="6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ht="12.75" customHeight="1">
      <c r="A302" s="2"/>
      <c r="B302" s="2"/>
      <c r="C302" s="3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5"/>
      <c r="P302" s="2"/>
      <c r="Q302" s="6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ht="12.75" customHeight="1">
      <c r="A303" s="2"/>
      <c r="B303" s="2"/>
      <c r="C303" s="3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5"/>
      <c r="P303" s="2"/>
      <c r="Q303" s="6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ht="12.75" customHeight="1">
      <c r="A304" s="2"/>
      <c r="B304" s="2"/>
      <c r="C304" s="3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5"/>
      <c r="P304" s="2"/>
      <c r="Q304" s="6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ht="12.75" customHeight="1">
      <c r="A305" s="2"/>
      <c r="B305" s="2"/>
      <c r="C305" s="3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5"/>
      <c r="P305" s="2"/>
      <c r="Q305" s="6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ht="12.75" customHeight="1">
      <c r="A306" s="2"/>
      <c r="B306" s="2"/>
      <c r="C306" s="3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5"/>
      <c r="P306" s="2"/>
      <c r="Q306" s="6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ht="12.75" customHeight="1">
      <c r="A307" s="2"/>
      <c r="B307" s="2"/>
      <c r="C307" s="3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5"/>
      <c r="P307" s="2"/>
      <c r="Q307" s="6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ht="12.75" customHeight="1">
      <c r="A308" s="2"/>
      <c r="B308" s="2"/>
      <c r="C308" s="3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5"/>
      <c r="P308" s="2"/>
      <c r="Q308" s="6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ht="12.75" customHeight="1">
      <c r="A309" s="2"/>
      <c r="B309" s="2"/>
      <c r="C309" s="3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5"/>
      <c r="P309" s="2"/>
      <c r="Q309" s="6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ht="12.75" customHeight="1">
      <c r="A310" s="2"/>
      <c r="B310" s="2"/>
      <c r="C310" s="3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5"/>
      <c r="P310" s="2"/>
      <c r="Q310" s="6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ht="12.75" customHeight="1">
      <c r="A311" s="2"/>
      <c r="B311" s="2"/>
      <c r="C311" s="3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5"/>
      <c r="P311" s="2"/>
      <c r="Q311" s="6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ht="12.75" customHeight="1">
      <c r="A312" s="2"/>
      <c r="B312" s="2"/>
      <c r="C312" s="3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5"/>
      <c r="P312" s="2"/>
      <c r="Q312" s="6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ht="12.75" customHeight="1">
      <c r="A313" s="2"/>
      <c r="B313" s="2"/>
      <c r="C313" s="3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5"/>
      <c r="P313" s="2"/>
      <c r="Q313" s="6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ht="12.75" customHeight="1">
      <c r="A314" s="2"/>
      <c r="B314" s="2"/>
      <c r="C314" s="3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5"/>
      <c r="P314" s="2"/>
      <c r="Q314" s="6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ht="12.75" customHeight="1">
      <c r="A315" s="2"/>
      <c r="B315" s="2"/>
      <c r="C315" s="3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5"/>
      <c r="P315" s="2"/>
      <c r="Q315" s="6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ht="12.75" customHeight="1">
      <c r="A316" s="2"/>
      <c r="B316" s="2"/>
      <c r="C316" s="3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5"/>
      <c r="P316" s="2"/>
      <c r="Q316" s="6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ht="12.75" customHeight="1">
      <c r="A317" s="2"/>
      <c r="B317" s="2"/>
      <c r="C317" s="3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5"/>
      <c r="P317" s="2"/>
      <c r="Q317" s="6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ht="12.75" customHeight="1">
      <c r="A318" s="2"/>
      <c r="B318" s="2"/>
      <c r="C318" s="3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5"/>
      <c r="P318" s="2"/>
      <c r="Q318" s="6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ht="12.75" customHeight="1">
      <c r="A319" s="2"/>
      <c r="B319" s="2"/>
      <c r="C319" s="3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5"/>
      <c r="P319" s="2"/>
      <c r="Q319" s="6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ht="12.75" customHeight="1">
      <c r="A320" s="2"/>
      <c r="B320" s="2"/>
      <c r="C320" s="3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5"/>
      <c r="P320" s="2"/>
      <c r="Q320" s="6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ht="12.75" customHeight="1">
      <c r="A321" s="2"/>
      <c r="B321" s="2"/>
      <c r="C321" s="3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5"/>
      <c r="P321" s="2"/>
      <c r="Q321" s="6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ht="12.75" customHeight="1">
      <c r="A322" s="2"/>
      <c r="B322" s="2"/>
      <c r="C322" s="3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5"/>
      <c r="P322" s="2"/>
      <c r="Q322" s="6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ht="12.75" customHeight="1">
      <c r="A323" s="2"/>
      <c r="B323" s="2"/>
      <c r="C323" s="3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5"/>
      <c r="P323" s="2"/>
      <c r="Q323" s="6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ht="12.75" customHeight="1">
      <c r="A324" s="2"/>
      <c r="B324" s="2"/>
      <c r="C324" s="3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5"/>
      <c r="P324" s="2"/>
      <c r="Q324" s="6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ht="12.75" customHeight="1">
      <c r="A325" s="2"/>
      <c r="B325" s="2"/>
      <c r="C325" s="3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5"/>
      <c r="P325" s="2"/>
      <c r="Q325" s="6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ht="12.75" customHeight="1">
      <c r="A326" s="2"/>
      <c r="B326" s="2"/>
      <c r="C326" s="3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5"/>
      <c r="P326" s="2"/>
      <c r="Q326" s="6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ht="12.75" customHeight="1">
      <c r="A327" s="2"/>
      <c r="B327" s="2"/>
      <c r="C327" s="3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5"/>
      <c r="P327" s="2"/>
      <c r="Q327" s="6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ht="12.75" customHeight="1">
      <c r="A328" s="2"/>
      <c r="B328" s="2"/>
      <c r="C328" s="3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5"/>
      <c r="P328" s="2"/>
      <c r="Q328" s="6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ht="12.75" customHeight="1">
      <c r="A329" s="2"/>
      <c r="B329" s="2"/>
      <c r="C329" s="3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5"/>
      <c r="P329" s="2"/>
      <c r="Q329" s="6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ht="12.75" customHeight="1">
      <c r="A330" s="2"/>
      <c r="B330" s="2"/>
      <c r="C330" s="3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5"/>
      <c r="P330" s="2"/>
      <c r="Q330" s="6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ht="12.75" customHeight="1">
      <c r="A331" s="2"/>
      <c r="B331" s="2"/>
      <c r="C331" s="3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5"/>
      <c r="P331" s="2"/>
      <c r="Q331" s="6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ht="12.75" customHeight="1">
      <c r="A332" s="2"/>
      <c r="B332" s="2"/>
      <c r="C332" s="3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5"/>
      <c r="P332" s="2"/>
      <c r="Q332" s="6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ht="12.75" customHeight="1">
      <c r="A333" s="2"/>
      <c r="B333" s="2"/>
      <c r="C333" s="3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5"/>
      <c r="P333" s="2"/>
      <c r="Q333" s="6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ht="12.75" customHeight="1">
      <c r="A334" s="2"/>
      <c r="B334" s="2"/>
      <c r="C334" s="3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5"/>
      <c r="P334" s="2"/>
      <c r="Q334" s="6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ht="12.75" customHeight="1">
      <c r="A335" s="2"/>
      <c r="B335" s="2"/>
      <c r="C335" s="3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5"/>
      <c r="P335" s="2"/>
      <c r="Q335" s="6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ht="12.75" customHeight="1">
      <c r="A336" s="2"/>
      <c r="B336" s="2"/>
      <c r="C336" s="3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5"/>
      <c r="P336" s="2"/>
      <c r="Q336" s="6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ht="12.75" customHeight="1">
      <c r="A337" s="2"/>
      <c r="B337" s="2"/>
      <c r="C337" s="3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5"/>
      <c r="P337" s="2"/>
      <c r="Q337" s="6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ht="12.75" customHeight="1">
      <c r="A338" s="2"/>
      <c r="B338" s="2"/>
      <c r="C338" s="3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5"/>
      <c r="P338" s="2"/>
      <c r="Q338" s="6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ht="12.75" customHeight="1">
      <c r="A339" s="2"/>
      <c r="B339" s="2"/>
      <c r="C339" s="3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5"/>
      <c r="P339" s="2"/>
      <c r="Q339" s="6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ht="12.75" customHeight="1">
      <c r="A340" s="2"/>
      <c r="B340" s="2"/>
      <c r="C340" s="3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5"/>
      <c r="P340" s="2"/>
      <c r="Q340" s="6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ht="12.75" customHeight="1">
      <c r="A341" s="2"/>
      <c r="B341" s="2"/>
      <c r="C341" s="3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5"/>
      <c r="P341" s="2"/>
      <c r="Q341" s="6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ht="12.75" customHeight="1">
      <c r="A342" s="2"/>
      <c r="B342" s="2"/>
      <c r="C342" s="3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5"/>
      <c r="P342" s="2"/>
      <c r="Q342" s="6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ht="12.75" customHeight="1">
      <c r="A343" s="2"/>
      <c r="B343" s="2"/>
      <c r="C343" s="3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5"/>
      <c r="P343" s="2"/>
      <c r="Q343" s="6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ht="12.75" customHeight="1">
      <c r="A344" s="2"/>
      <c r="B344" s="2"/>
      <c r="C344" s="3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5"/>
      <c r="P344" s="2"/>
      <c r="Q344" s="6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ht="12.75" customHeight="1">
      <c r="A345" s="2"/>
      <c r="B345" s="2"/>
      <c r="C345" s="3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5"/>
      <c r="P345" s="2"/>
      <c r="Q345" s="6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ht="12.75" customHeight="1">
      <c r="A346" s="2"/>
      <c r="B346" s="2"/>
      <c r="C346" s="3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5"/>
      <c r="P346" s="2"/>
      <c r="Q346" s="6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ht="12.75" customHeight="1">
      <c r="A347" s="2"/>
      <c r="B347" s="2"/>
      <c r="C347" s="3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5"/>
      <c r="P347" s="2"/>
      <c r="Q347" s="6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ht="12.75" customHeight="1">
      <c r="A348" s="2"/>
      <c r="B348" s="2"/>
      <c r="C348" s="3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5"/>
      <c r="P348" s="2"/>
      <c r="Q348" s="6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ht="12.75" customHeight="1">
      <c r="A349" s="2"/>
      <c r="B349" s="2"/>
      <c r="C349" s="3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5"/>
      <c r="P349" s="2"/>
      <c r="Q349" s="6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ht="12.75" customHeight="1">
      <c r="A350" s="2"/>
      <c r="B350" s="2"/>
      <c r="C350" s="3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5"/>
      <c r="P350" s="2"/>
      <c r="Q350" s="6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ht="12.75" customHeight="1">
      <c r="A351" s="2"/>
      <c r="B351" s="2"/>
      <c r="C351" s="3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5"/>
      <c r="P351" s="2"/>
      <c r="Q351" s="6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ht="12.75" customHeight="1">
      <c r="A352" s="2"/>
      <c r="B352" s="2"/>
      <c r="C352" s="3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5"/>
      <c r="P352" s="2"/>
      <c r="Q352" s="6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ht="12.75" customHeight="1">
      <c r="A353" s="2"/>
      <c r="B353" s="2"/>
      <c r="C353" s="3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5"/>
      <c r="P353" s="2"/>
      <c r="Q353" s="6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ht="12.75" customHeight="1">
      <c r="A354" s="2"/>
      <c r="B354" s="2"/>
      <c r="C354" s="3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5"/>
      <c r="P354" s="2"/>
      <c r="Q354" s="6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ht="12.75" customHeight="1">
      <c r="A355" s="2"/>
      <c r="B355" s="2"/>
      <c r="C355" s="3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5"/>
      <c r="P355" s="2"/>
      <c r="Q355" s="6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ht="12.75" customHeight="1">
      <c r="A356" s="2"/>
      <c r="B356" s="2"/>
      <c r="C356" s="3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5"/>
      <c r="P356" s="2"/>
      <c r="Q356" s="6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ht="12.75" customHeight="1">
      <c r="A357" s="2"/>
      <c r="B357" s="2"/>
      <c r="C357" s="3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5"/>
      <c r="P357" s="2"/>
      <c r="Q357" s="6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ht="12.75" customHeight="1">
      <c r="A358" s="2"/>
      <c r="B358" s="2"/>
      <c r="C358" s="3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5"/>
      <c r="P358" s="2"/>
      <c r="Q358" s="6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ht="12.75" customHeight="1">
      <c r="A359" s="2"/>
      <c r="B359" s="2"/>
      <c r="C359" s="3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5"/>
      <c r="P359" s="2"/>
      <c r="Q359" s="6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ht="12.75" customHeight="1">
      <c r="A360" s="2"/>
      <c r="B360" s="2"/>
      <c r="C360" s="3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5"/>
      <c r="P360" s="2"/>
      <c r="Q360" s="6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ht="12.75" customHeight="1">
      <c r="A361" s="2"/>
      <c r="B361" s="2"/>
      <c r="C361" s="3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5"/>
      <c r="P361" s="2"/>
      <c r="Q361" s="6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ht="12.75" customHeight="1">
      <c r="A362" s="2"/>
      <c r="B362" s="2"/>
      <c r="C362" s="3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5"/>
      <c r="P362" s="2"/>
      <c r="Q362" s="6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ht="12.75" customHeight="1">
      <c r="A363" s="2"/>
      <c r="B363" s="2"/>
      <c r="C363" s="3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5"/>
      <c r="P363" s="2"/>
      <c r="Q363" s="6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ht="12.75" customHeight="1">
      <c r="A364" s="2"/>
      <c r="B364" s="2"/>
      <c r="C364" s="3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5"/>
      <c r="P364" s="2"/>
      <c r="Q364" s="6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ht="12.75" customHeight="1">
      <c r="A365" s="2"/>
      <c r="B365" s="2"/>
      <c r="C365" s="3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5"/>
      <c r="P365" s="2"/>
      <c r="Q365" s="6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ht="12.75" customHeight="1">
      <c r="A366" s="2"/>
      <c r="B366" s="2"/>
      <c r="C366" s="3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5"/>
      <c r="P366" s="2"/>
      <c r="Q366" s="6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ht="12.75" customHeight="1">
      <c r="A367" s="2"/>
      <c r="B367" s="2"/>
      <c r="C367" s="3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5"/>
      <c r="P367" s="2"/>
      <c r="Q367" s="6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ht="12.75" customHeight="1">
      <c r="A368" s="2"/>
      <c r="B368" s="2"/>
      <c r="C368" s="3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5"/>
      <c r="P368" s="2"/>
      <c r="Q368" s="6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ht="12.75" customHeight="1">
      <c r="A369" s="2"/>
      <c r="B369" s="2"/>
      <c r="C369" s="3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5"/>
      <c r="P369" s="2"/>
      <c r="Q369" s="6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ht="12.75" customHeight="1">
      <c r="A370" s="2"/>
      <c r="B370" s="2"/>
      <c r="C370" s="3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5"/>
      <c r="P370" s="2"/>
      <c r="Q370" s="6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ht="12.75" customHeight="1">
      <c r="A371" s="2"/>
      <c r="B371" s="2"/>
      <c r="C371" s="3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5"/>
      <c r="P371" s="2"/>
      <c r="Q371" s="6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ht="12.75" customHeight="1">
      <c r="A372" s="2"/>
      <c r="B372" s="2"/>
      <c r="C372" s="3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5"/>
      <c r="P372" s="2"/>
      <c r="Q372" s="6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ht="12.75" customHeight="1">
      <c r="A373" s="2"/>
      <c r="B373" s="2"/>
      <c r="C373" s="3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5"/>
      <c r="P373" s="2"/>
      <c r="Q373" s="6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ht="12.75" customHeight="1">
      <c r="A374" s="2"/>
      <c r="B374" s="2"/>
      <c r="C374" s="3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5"/>
      <c r="P374" s="2"/>
      <c r="Q374" s="6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ht="12.75" customHeight="1">
      <c r="A375" s="2"/>
      <c r="B375" s="2"/>
      <c r="C375" s="3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5"/>
      <c r="P375" s="2"/>
      <c r="Q375" s="6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ht="12.75" customHeight="1">
      <c r="A376" s="2"/>
      <c r="B376" s="2"/>
      <c r="C376" s="3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5"/>
      <c r="P376" s="2"/>
      <c r="Q376" s="6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ht="12.75" customHeight="1">
      <c r="A377" s="2"/>
      <c r="B377" s="2"/>
      <c r="C377" s="3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5"/>
      <c r="P377" s="2"/>
      <c r="Q377" s="6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ht="12.75" customHeight="1">
      <c r="A378" s="2"/>
      <c r="B378" s="2"/>
      <c r="C378" s="3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5"/>
      <c r="P378" s="2"/>
      <c r="Q378" s="6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ht="12.75" customHeight="1">
      <c r="A379" s="2"/>
      <c r="B379" s="2"/>
      <c r="C379" s="3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5"/>
      <c r="P379" s="2"/>
      <c r="Q379" s="6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ht="12.75" customHeight="1">
      <c r="A380" s="2"/>
      <c r="B380" s="2"/>
      <c r="C380" s="3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5"/>
      <c r="P380" s="2"/>
      <c r="Q380" s="6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ht="12.75" customHeight="1">
      <c r="A381" s="2"/>
      <c r="B381" s="2"/>
      <c r="C381" s="3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5"/>
      <c r="P381" s="2"/>
      <c r="Q381" s="6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ht="12.75" customHeight="1">
      <c r="A382" s="2"/>
      <c r="B382" s="2"/>
      <c r="C382" s="3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5"/>
      <c r="P382" s="2"/>
      <c r="Q382" s="6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ht="12.75" customHeight="1">
      <c r="A383" s="2"/>
      <c r="B383" s="2"/>
      <c r="C383" s="3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5"/>
      <c r="P383" s="2"/>
      <c r="Q383" s="6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ht="12.75" customHeight="1">
      <c r="A384" s="2"/>
      <c r="B384" s="2"/>
      <c r="C384" s="3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5"/>
      <c r="P384" s="2"/>
      <c r="Q384" s="6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ht="12.75" customHeight="1">
      <c r="A385" s="2"/>
      <c r="B385" s="2"/>
      <c r="C385" s="3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5"/>
      <c r="P385" s="2"/>
      <c r="Q385" s="6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ht="12.75" customHeight="1">
      <c r="A386" s="2"/>
      <c r="B386" s="2"/>
      <c r="C386" s="3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5"/>
      <c r="P386" s="2"/>
      <c r="Q386" s="6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ht="12.75" customHeight="1">
      <c r="A387" s="2"/>
      <c r="B387" s="2"/>
      <c r="C387" s="3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5"/>
      <c r="P387" s="2"/>
      <c r="Q387" s="6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ht="12.75" customHeight="1">
      <c r="A388" s="2"/>
      <c r="B388" s="2"/>
      <c r="C388" s="3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5"/>
      <c r="P388" s="2"/>
      <c r="Q388" s="6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ht="12.75" customHeight="1">
      <c r="A389" s="2"/>
      <c r="B389" s="2"/>
      <c r="C389" s="3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5"/>
      <c r="P389" s="2"/>
      <c r="Q389" s="6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ht="12.75" customHeight="1">
      <c r="A390" s="2"/>
      <c r="B390" s="2"/>
      <c r="C390" s="3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5"/>
      <c r="P390" s="2"/>
      <c r="Q390" s="6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ht="12.75" customHeight="1">
      <c r="A391" s="2"/>
      <c r="B391" s="2"/>
      <c r="C391" s="3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5"/>
      <c r="P391" s="2"/>
      <c r="Q391" s="6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ht="12.75" customHeight="1">
      <c r="A392" s="2"/>
      <c r="B392" s="2"/>
      <c r="C392" s="3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5"/>
      <c r="P392" s="2"/>
      <c r="Q392" s="6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ht="12.75" customHeight="1">
      <c r="A393" s="2"/>
      <c r="B393" s="2"/>
      <c r="C393" s="3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5"/>
      <c r="P393" s="2"/>
      <c r="Q393" s="6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ht="12.75" customHeight="1">
      <c r="A394" s="2"/>
      <c r="B394" s="2"/>
      <c r="C394" s="3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5"/>
      <c r="P394" s="2"/>
      <c r="Q394" s="6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ht="12.75" customHeight="1">
      <c r="A395" s="2"/>
      <c r="B395" s="2"/>
      <c r="C395" s="3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5"/>
      <c r="P395" s="2"/>
      <c r="Q395" s="6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ht="12.75" customHeight="1">
      <c r="A396" s="2"/>
      <c r="B396" s="2"/>
      <c r="C396" s="3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5"/>
      <c r="P396" s="2"/>
      <c r="Q396" s="6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ht="12.75" customHeight="1">
      <c r="A397" s="2"/>
      <c r="B397" s="2"/>
      <c r="C397" s="3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5"/>
      <c r="P397" s="2"/>
      <c r="Q397" s="6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ht="12.75" customHeight="1">
      <c r="A398" s="2"/>
      <c r="B398" s="2"/>
      <c r="C398" s="3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5"/>
      <c r="P398" s="2"/>
      <c r="Q398" s="6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ht="12.75" customHeight="1">
      <c r="A399" s="2"/>
      <c r="B399" s="2"/>
      <c r="C399" s="3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5"/>
      <c r="P399" s="2"/>
      <c r="Q399" s="6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ht="12.75" customHeight="1">
      <c r="A400" s="2"/>
      <c r="B400" s="2"/>
      <c r="C400" s="3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5"/>
      <c r="P400" s="2"/>
      <c r="Q400" s="6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ht="12.75" customHeight="1">
      <c r="A401" s="2"/>
      <c r="B401" s="2"/>
      <c r="C401" s="3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5"/>
      <c r="P401" s="2"/>
      <c r="Q401" s="6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ht="12.75" customHeight="1">
      <c r="A402" s="2"/>
      <c r="B402" s="2"/>
      <c r="C402" s="3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5"/>
      <c r="P402" s="2"/>
      <c r="Q402" s="6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ht="12.75" customHeight="1">
      <c r="A403" s="2"/>
      <c r="B403" s="2"/>
      <c r="C403" s="3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5"/>
      <c r="P403" s="2"/>
      <c r="Q403" s="6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ht="12.75" customHeight="1">
      <c r="A404" s="2"/>
      <c r="B404" s="2"/>
      <c r="C404" s="3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5"/>
      <c r="P404" s="2"/>
      <c r="Q404" s="6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ht="12.75" customHeight="1">
      <c r="A405" s="2"/>
      <c r="B405" s="2"/>
      <c r="C405" s="3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5"/>
      <c r="P405" s="2"/>
      <c r="Q405" s="6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ht="12.75" customHeight="1">
      <c r="A406" s="2"/>
      <c r="B406" s="2"/>
      <c r="C406" s="3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5"/>
      <c r="P406" s="2"/>
      <c r="Q406" s="6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ht="12.75" customHeight="1">
      <c r="A407" s="2"/>
      <c r="B407" s="2"/>
      <c r="C407" s="3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5"/>
      <c r="P407" s="2"/>
      <c r="Q407" s="6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ht="12.75" customHeight="1">
      <c r="A408" s="2"/>
      <c r="B408" s="2"/>
      <c r="C408" s="3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5"/>
      <c r="P408" s="2"/>
      <c r="Q408" s="6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ht="12.75" customHeight="1">
      <c r="A409" s="2"/>
      <c r="B409" s="2"/>
      <c r="C409" s="3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5"/>
      <c r="P409" s="2"/>
      <c r="Q409" s="6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ht="12.75" customHeight="1">
      <c r="A410" s="2"/>
      <c r="B410" s="2"/>
      <c r="C410" s="3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5"/>
      <c r="P410" s="2"/>
      <c r="Q410" s="6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ht="12.75" customHeight="1">
      <c r="A411" s="2"/>
      <c r="B411" s="2"/>
      <c r="C411" s="3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5"/>
      <c r="P411" s="2"/>
      <c r="Q411" s="6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ht="12.75" customHeight="1">
      <c r="A412" s="2"/>
      <c r="B412" s="2"/>
      <c r="C412" s="3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5"/>
      <c r="P412" s="2"/>
      <c r="Q412" s="6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ht="12.75" customHeight="1">
      <c r="A413" s="2"/>
      <c r="B413" s="2"/>
      <c r="C413" s="3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5"/>
      <c r="P413" s="2"/>
      <c r="Q413" s="6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ht="12.75" customHeight="1">
      <c r="A414" s="2"/>
      <c r="B414" s="2"/>
      <c r="C414" s="3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5"/>
      <c r="P414" s="2"/>
      <c r="Q414" s="6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ht="12.75" customHeight="1">
      <c r="A415" s="2"/>
      <c r="B415" s="2"/>
      <c r="C415" s="3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5"/>
      <c r="P415" s="2"/>
      <c r="Q415" s="6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ht="12.75" customHeight="1">
      <c r="A416" s="2"/>
      <c r="B416" s="2"/>
      <c r="C416" s="3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5"/>
      <c r="P416" s="2"/>
      <c r="Q416" s="6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ht="12.75" customHeight="1">
      <c r="A417" s="2"/>
      <c r="B417" s="2"/>
      <c r="C417" s="3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5"/>
      <c r="P417" s="2"/>
      <c r="Q417" s="6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ht="12.75" customHeight="1">
      <c r="A418" s="2"/>
      <c r="B418" s="2"/>
      <c r="C418" s="3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5"/>
      <c r="P418" s="2"/>
      <c r="Q418" s="6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ht="12.75" customHeight="1">
      <c r="A419" s="2"/>
      <c r="B419" s="2"/>
      <c r="C419" s="3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5"/>
      <c r="P419" s="2"/>
      <c r="Q419" s="6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ht="12.75" customHeight="1">
      <c r="A420" s="2"/>
      <c r="B420" s="2"/>
      <c r="C420" s="3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5"/>
      <c r="P420" s="2"/>
      <c r="Q420" s="6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ht="12.75" customHeight="1">
      <c r="A421" s="2"/>
      <c r="B421" s="2"/>
      <c r="C421" s="3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5"/>
      <c r="P421" s="2"/>
      <c r="Q421" s="6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ht="12.75" customHeight="1">
      <c r="A422" s="2"/>
      <c r="B422" s="2"/>
      <c r="C422" s="3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5"/>
      <c r="P422" s="2"/>
      <c r="Q422" s="6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ht="12.75" customHeight="1">
      <c r="A423" s="2"/>
      <c r="B423" s="2"/>
      <c r="C423" s="3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5"/>
      <c r="P423" s="2"/>
      <c r="Q423" s="6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ht="12.75" customHeight="1">
      <c r="A424" s="2"/>
      <c r="B424" s="2"/>
      <c r="C424" s="3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5"/>
      <c r="P424" s="2"/>
      <c r="Q424" s="6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ht="12.75" customHeight="1">
      <c r="A425" s="2"/>
      <c r="B425" s="2"/>
      <c r="C425" s="3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5"/>
      <c r="P425" s="2"/>
      <c r="Q425" s="6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ht="12.75" customHeight="1">
      <c r="A426" s="2"/>
      <c r="B426" s="2"/>
      <c r="C426" s="3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5"/>
      <c r="P426" s="2"/>
      <c r="Q426" s="6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ht="12.75" customHeight="1">
      <c r="A427" s="2"/>
      <c r="B427" s="2"/>
      <c r="C427" s="3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5"/>
      <c r="P427" s="2"/>
      <c r="Q427" s="6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ht="12.75" customHeight="1">
      <c r="A428" s="2"/>
      <c r="B428" s="2"/>
      <c r="C428" s="3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5"/>
      <c r="P428" s="2"/>
      <c r="Q428" s="6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ht="12.75" customHeight="1">
      <c r="A429" s="2"/>
      <c r="B429" s="2"/>
      <c r="C429" s="3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5"/>
      <c r="P429" s="2"/>
      <c r="Q429" s="6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ht="12.75" customHeight="1">
      <c r="A430" s="2"/>
      <c r="B430" s="2"/>
      <c r="C430" s="3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5"/>
      <c r="P430" s="2"/>
      <c r="Q430" s="6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ht="12.75" customHeight="1">
      <c r="A431" s="2"/>
      <c r="B431" s="2"/>
      <c r="C431" s="3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5"/>
      <c r="P431" s="2"/>
      <c r="Q431" s="6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ht="12.75" customHeight="1">
      <c r="A432" s="2"/>
      <c r="B432" s="2"/>
      <c r="C432" s="3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5"/>
      <c r="P432" s="2"/>
      <c r="Q432" s="6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ht="12.75" customHeight="1">
      <c r="A433" s="2"/>
      <c r="B433" s="2"/>
      <c r="C433" s="3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5"/>
      <c r="P433" s="2"/>
      <c r="Q433" s="6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ht="12.75" customHeight="1">
      <c r="A434" s="2"/>
      <c r="B434" s="2"/>
      <c r="C434" s="3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5"/>
      <c r="P434" s="2"/>
      <c r="Q434" s="6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ht="12.75" customHeight="1">
      <c r="A435" s="2"/>
      <c r="B435" s="2"/>
      <c r="C435" s="3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5"/>
      <c r="P435" s="2"/>
      <c r="Q435" s="6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ht="12.75" customHeight="1">
      <c r="A436" s="2"/>
      <c r="B436" s="2"/>
      <c r="C436" s="3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5"/>
      <c r="P436" s="2"/>
      <c r="Q436" s="6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ht="12.75" customHeight="1">
      <c r="A437" s="2"/>
      <c r="B437" s="2"/>
      <c r="C437" s="3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5"/>
      <c r="P437" s="2"/>
      <c r="Q437" s="6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ht="12.75" customHeight="1">
      <c r="A438" s="2"/>
      <c r="B438" s="2"/>
      <c r="C438" s="3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5"/>
      <c r="P438" s="2"/>
      <c r="Q438" s="6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ht="12.75" customHeight="1">
      <c r="A439" s="2"/>
      <c r="B439" s="2"/>
      <c r="C439" s="3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5"/>
      <c r="P439" s="2"/>
      <c r="Q439" s="6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ht="12.75" customHeight="1">
      <c r="A440" s="2"/>
      <c r="B440" s="2"/>
      <c r="C440" s="3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5"/>
      <c r="P440" s="2"/>
      <c r="Q440" s="6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ht="12.75" customHeight="1">
      <c r="A441" s="2"/>
      <c r="B441" s="2"/>
      <c r="C441" s="3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5"/>
      <c r="P441" s="2"/>
      <c r="Q441" s="6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ht="12.75" customHeight="1">
      <c r="A442" s="2"/>
      <c r="B442" s="2"/>
      <c r="C442" s="3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5"/>
      <c r="P442" s="2"/>
      <c r="Q442" s="6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ht="12.75" customHeight="1">
      <c r="A443" s="2"/>
      <c r="B443" s="2"/>
      <c r="C443" s="3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5"/>
      <c r="P443" s="2"/>
      <c r="Q443" s="6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ht="12.75" customHeight="1">
      <c r="A444" s="2"/>
      <c r="B444" s="2"/>
      <c r="C444" s="3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5"/>
      <c r="P444" s="2"/>
      <c r="Q444" s="6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ht="12.75" customHeight="1">
      <c r="A445" s="2"/>
      <c r="B445" s="2"/>
      <c r="C445" s="3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5"/>
      <c r="P445" s="2"/>
      <c r="Q445" s="6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ht="12.75" customHeight="1">
      <c r="A446" s="2"/>
      <c r="B446" s="2"/>
      <c r="C446" s="3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5"/>
      <c r="P446" s="2"/>
      <c r="Q446" s="6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ht="12.75" customHeight="1">
      <c r="A447" s="2"/>
      <c r="B447" s="2"/>
      <c r="C447" s="3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5"/>
      <c r="P447" s="2"/>
      <c r="Q447" s="6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ht="12.75" customHeight="1">
      <c r="A448" s="2"/>
      <c r="B448" s="2"/>
      <c r="C448" s="3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5"/>
      <c r="P448" s="2"/>
      <c r="Q448" s="6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ht="12.75" customHeight="1">
      <c r="A449" s="2"/>
      <c r="B449" s="2"/>
      <c r="C449" s="3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5"/>
      <c r="P449" s="2"/>
      <c r="Q449" s="6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ht="12.75" customHeight="1">
      <c r="A450" s="2"/>
      <c r="B450" s="2"/>
      <c r="C450" s="3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5"/>
      <c r="P450" s="2"/>
      <c r="Q450" s="6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ht="12.75" customHeight="1">
      <c r="A451" s="2"/>
      <c r="B451" s="2"/>
      <c r="C451" s="3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5"/>
      <c r="P451" s="2"/>
      <c r="Q451" s="6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ht="12.75" customHeight="1">
      <c r="A452" s="2"/>
      <c r="B452" s="2"/>
      <c r="C452" s="3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5"/>
      <c r="P452" s="2"/>
      <c r="Q452" s="6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ht="12.75" customHeight="1">
      <c r="A453" s="2"/>
      <c r="B453" s="2"/>
      <c r="C453" s="3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5"/>
      <c r="P453" s="2"/>
      <c r="Q453" s="6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ht="12.75" customHeight="1">
      <c r="A454" s="2"/>
      <c r="B454" s="2"/>
      <c r="C454" s="3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5"/>
      <c r="P454" s="2"/>
      <c r="Q454" s="6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ht="12.75" customHeight="1">
      <c r="A455" s="2"/>
      <c r="B455" s="2"/>
      <c r="C455" s="3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5"/>
      <c r="P455" s="2"/>
      <c r="Q455" s="6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ht="12.75" customHeight="1">
      <c r="A456" s="2"/>
      <c r="B456" s="2"/>
      <c r="C456" s="3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5"/>
      <c r="P456" s="2"/>
      <c r="Q456" s="6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ht="12.75" customHeight="1">
      <c r="A457" s="2"/>
      <c r="B457" s="2"/>
      <c r="C457" s="3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5"/>
      <c r="P457" s="2"/>
      <c r="Q457" s="6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ht="12.75" customHeight="1">
      <c r="A458" s="2"/>
      <c r="B458" s="2"/>
      <c r="C458" s="3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5"/>
      <c r="P458" s="2"/>
      <c r="Q458" s="6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ht="12.75" customHeight="1">
      <c r="A459" s="2"/>
      <c r="B459" s="2"/>
      <c r="C459" s="3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5"/>
      <c r="P459" s="2"/>
      <c r="Q459" s="6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ht="12.75" customHeight="1">
      <c r="A460" s="2"/>
      <c r="B460" s="2"/>
      <c r="C460" s="3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5"/>
      <c r="P460" s="2"/>
      <c r="Q460" s="6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ht="12.75" customHeight="1">
      <c r="A461" s="2"/>
      <c r="B461" s="2"/>
      <c r="C461" s="3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5"/>
      <c r="P461" s="2"/>
      <c r="Q461" s="6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ht="12.75" customHeight="1">
      <c r="A462" s="2"/>
      <c r="B462" s="2"/>
      <c r="C462" s="3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5"/>
      <c r="P462" s="2"/>
      <c r="Q462" s="6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ht="12.75" customHeight="1">
      <c r="A463" s="2"/>
      <c r="B463" s="2"/>
      <c r="C463" s="3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5"/>
      <c r="P463" s="2"/>
      <c r="Q463" s="6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ht="12.75" customHeight="1">
      <c r="A464" s="2"/>
      <c r="B464" s="2"/>
      <c r="C464" s="3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5"/>
      <c r="P464" s="2"/>
      <c r="Q464" s="6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ht="12.75" customHeight="1">
      <c r="A465" s="2"/>
      <c r="B465" s="2"/>
      <c r="C465" s="3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5"/>
      <c r="P465" s="2"/>
      <c r="Q465" s="6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ht="12.75" customHeight="1">
      <c r="A466" s="2"/>
      <c r="B466" s="2"/>
      <c r="C466" s="3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5"/>
      <c r="P466" s="2"/>
      <c r="Q466" s="6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ht="12.75" customHeight="1">
      <c r="A467" s="2"/>
      <c r="B467" s="2"/>
      <c r="C467" s="3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5"/>
      <c r="P467" s="2"/>
      <c r="Q467" s="6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ht="12.75" customHeight="1">
      <c r="A468" s="2"/>
      <c r="B468" s="2"/>
      <c r="C468" s="3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5"/>
      <c r="P468" s="2"/>
      <c r="Q468" s="6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ht="12.75" customHeight="1">
      <c r="A469" s="2"/>
      <c r="B469" s="2"/>
      <c r="C469" s="3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5"/>
      <c r="P469" s="2"/>
      <c r="Q469" s="6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ht="12.75" customHeight="1">
      <c r="A470" s="2"/>
      <c r="B470" s="2"/>
      <c r="C470" s="3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5"/>
      <c r="P470" s="2"/>
      <c r="Q470" s="6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ht="12.75" customHeight="1">
      <c r="A471" s="2"/>
      <c r="B471" s="2"/>
      <c r="C471" s="3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5"/>
      <c r="P471" s="2"/>
      <c r="Q471" s="6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ht="12.75" customHeight="1">
      <c r="A472" s="2"/>
      <c r="B472" s="2"/>
      <c r="C472" s="3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5"/>
      <c r="P472" s="2"/>
      <c r="Q472" s="6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ht="12.75" customHeight="1">
      <c r="A473" s="2"/>
      <c r="B473" s="2"/>
      <c r="C473" s="3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5"/>
      <c r="P473" s="2"/>
      <c r="Q473" s="6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ht="12.75" customHeight="1">
      <c r="A474" s="2"/>
      <c r="B474" s="2"/>
      <c r="C474" s="3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5"/>
      <c r="P474" s="2"/>
      <c r="Q474" s="6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ht="12.75" customHeight="1">
      <c r="A475" s="2"/>
      <c r="B475" s="2"/>
      <c r="C475" s="3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5"/>
      <c r="P475" s="2"/>
      <c r="Q475" s="6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ht="12.75" customHeight="1">
      <c r="A476" s="2"/>
      <c r="B476" s="2"/>
      <c r="C476" s="3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5"/>
      <c r="P476" s="2"/>
      <c r="Q476" s="6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ht="12.75" customHeight="1">
      <c r="A477" s="2"/>
      <c r="B477" s="2"/>
      <c r="C477" s="3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5"/>
      <c r="P477" s="2"/>
      <c r="Q477" s="6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ht="12.75" customHeight="1">
      <c r="A478" s="2"/>
      <c r="B478" s="2"/>
      <c r="C478" s="3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5"/>
      <c r="P478" s="2"/>
      <c r="Q478" s="6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ht="12.75" customHeight="1">
      <c r="A479" s="2"/>
      <c r="B479" s="2"/>
      <c r="C479" s="3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5"/>
      <c r="P479" s="2"/>
      <c r="Q479" s="6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ht="12.75" customHeight="1">
      <c r="A480" s="2"/>
      <c r="B480" s="2"/>
      <c r="C480" s="3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5"/>
      <c r="P480" s="2"/>
      <c r="Q480" s="6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ht="12.75" customHeight="1">
      <c r="A481" s="2"/>
      <c r="B481" s="2"/>
      <c r="C481" s="3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5"/>
      <c r="P481" s="2"/>
      <c r="Q481" s="6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ht="12.75" customHeight="1">
      <c r="A482" s="2"/>
      <c r="B482" s="2"/>
      <c r="C482" s="3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5"/>
      <c r="P482" s="2"/>
      <c r="Q482" s="6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ht="12.75" customHeight="1">
      <c r="A483" s="2"/>
      <c r="B483" s="2"/>
      <c r="C483" s="3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5"/>
      <c r="P483" s="2"/>
      <c r="Q483" s="6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ht="12.75" customHeight="1">
      <c r="A484" s="2"/>
      <c r="B484" s="2"/>
      <c r="C484" s="3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5"/>
      <c r="P484" s="2"/>
      <c r="Q484" s="6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ht="12.75" customHeight="1">
      <c r="A485" s="2"/>
      <c r="B485" s="2"/>
      <c r="C485" s="3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5"/>
      <c r="P485" s="2"/>
      <c r="Q485" s="6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ht="12.75" customHeight="1">
      <c r="A486" s="2"/>
      <c r="B486" s="2"/>
      <c r="C486" s="3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5"/>
      <c r="P486" s="2"/>
      <c r="Q486" s="6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ht="12.75" customHeight="1">
      <c r="A487" s="2"/>
      <c r="B487" s="2"/>
      <c r="C487" s="3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5"/>
      <c r="P487" s="2"/>
      <c r="Q487" s="6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ht="12.75" customHeight="1">
      <c r="A488" s="2"/>
      <c r="B488" s="2"/>
      <c r="C488" s="3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5"/>
      <c r="P488" s="2"/>
      <c r="Q488" s="6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ht="12.75" customHeight="1">
      <c r="A489" s="2"/>
      <c r="B489" s="2"/>
      <c r="C489" s="3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5"/>
      <c r="P489" s="2"/>
      <c r="Q489" s="6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ht="12.75" customHeight="1">
      <c r="A490" s="2"/>
      <c r="B490" s="2"/>
      <c r="C490" s="3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5"/>
      <c r="P490" s="2"/>
      <c r="Q490" s="6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ht="12.75" customHeight="1">
      <c r="A491" s="2"/>
      <c r="B491" s="2"/>
      <c r="C491" s="3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5"/>
      <c r="P491" s="2"/>
      <c r="Q491" s="6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ht="12.75" customHeight="1">
      <c r="A492" s="2"/>
      <c r="B492" s="2"/>
      <c r="C492" s="3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5"/>
      <c r="P492" s="2"/>
      <c r="Q492" s="6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ht="12.75" customHeight="1">
      <c r="A493" s="2"/>
      <c r="B493" s="2"/>
      <c r="C493" s="3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5"/>
      <c r="P493" s="2"/>
      <c r="Q493" s="6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ht="12.75" customHeight="1">
      <c r="A494" s="2"/>
      <c r="B494" s="2"/>
      <c r="C494" s="3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5"/>
      <c r="P494" s="2"/>
      <c r="Q494" s="6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ht="12.75" customHeight="1">
      <c r="A495" s="2"/>
      <c r="B495" s="2"/>
      <c r="C495" s="3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5"/>
      <c r="P495" s="2"/>
      <c r="Q495" s="6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ht="12.75" customHeight="1">
      <c r="A496" s="2"/>
      <c r="B496" s="2"/>
      <c r="C496" s="3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5"/>
      <c r="P496" s="2"/>
      <c r="Q496" s="6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ht="12.75" customHeight="1">
      <c r="A497" s="2"/>
      <c r="B497" s="2"/>
      <c r="C497" s="3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5"/>
      <c r="P497" s="2"/>
      <c r="Q497" s="6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ht="12.75" customHeight="1">
      <c r="A498" s="2"/>
      <c r="B498" s="2"/>
      <c r="C498" s="3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5"/>
      <c r="P498" s="2"/>
      <c r="Q498" s="6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ht="12.75" customHeight="1">
      <c r="A499" s="2"/>
      <c r="B499" s="2"/>
      <c r="C499" s="3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5"/>
      <c r="P499" s="2"/>
      <c r="Q499" s="6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ht="12.75" customHeight="1">
      <c r="A500" s="2"/>
      <c r="B500" s="2"/>
      <c r="C500" s="3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5"/>
      <c r="P500" s="2"/>
      <c r="Q500" s="6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ht="12.75" customHeight="1">
      <c r="A501" s="2"/>
      <c r="B501" s="2"/>
      <c r="C501" s="3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5"/>
      <c r="P501" s="2"/>
      <c r="Q501" s="6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ht="12.75" customHeight="1">
      <c r="A502" s="2"/>
      <c r="B502" s="2"/>
      <c r="C502" s="3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5"/>
      <c r="P502" s="2"/>
      <c r="Q502" s="6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ht="12.75" customHeight="1">
      <c r="A503" s="2"/>
      <c r="B503" s="2"/>
      <c r="C503" s="3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5"/>
      <c r="P503" s="2"/>
      <c r="Q503" s="6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ht="12.75" customHeight="1">
      <c r="A504" s="2"/>
      <c r="B504" s="2"/>
      <c r="C504" s="3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5"/>
      <c r="P504" s="2"/>
      <c r="Q504" s="6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ht="12.75" customHeight="1">
      <c r="A505" s="2"/>
      <c r="B505" s="2"/>
      <c r="C505" s="3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5"/>
      <c r="P505" s="2"/>
      <c r="Q505" s="6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ht="12.75" customHeight="1">
      <c r="A506" s="2"/>
      <c r="B506" s="2"/>
      <c r="C506" s="3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5"/>
      <c r="P506" s="2"/>
      <c r="Q506" s="6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ht="12.75" customHeight="1">
      <c r="A507" s="2"/>
      <c r="B507" s="2"/>
      <c r="C507" s="3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5"/>
      <c r="P507" s="2"/>
      <c r="Q507" s="6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ht="12.75" customHeight="1">
      <c r="A508" s="2"/>
      <c r="B508" s="2"/>
      <c r="C508" s="3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5"/>
      <c r="P508" s="2"/>
      <c r="Q508" s="6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ht="12.75" customHeight="1">
      <c r="A509" s="2"/>
      <c r="B509" s="2"/>
      <c r="C509" s="3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5"/>
      <c r="P509" s="2"/>
      <c r="Q509" s="6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ht="12.75" customHeight="1">
      <c r="A510" s="2"/>
      <c r="B510" s="2"/>
      <c r="C510" s="3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5"/>
      <c r="P510" s="2"/>
      <c r="Q510" s="6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ht="12.75" customHeight="1">
      <c r="A511" s="2"/>
      <c r="B511" s="2"/>
      <c r="C511" s="3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5"/>
      <c r="P511" s="2"/>
      <c r="Q511" s="6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ht="12.75" customHeight="1">
      <c r="A512" s="2"/>
      <c r="B512" s="2"/>
      <c r="C512" s="3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5"/>
      <c r="P512" s="2"/>
      <c r="Q512" s="6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ht="12.75" customHeight="1">
      <c r="A513" s="2"/>
      <c r="B513" s="2"/>
      <c r="C513" s="3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5"/>
      <c r="P513" s="2"/>
      <c r="Q513" s="6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ht="12.75" customHeight="1">
      <c r="A514" s="2"/>
      <c r="B514" s="2"/>
      <c r="C514" s="3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5"/>
      <c r="P514" s="2"/>
      <c r="Q514" s="6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ht="12.75" customHeight="1">
      <c r="A515" s="2"/>
      <c r="B515" s="2"/>
      <c r="C515" s="3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5"/>
      <c r="P515" s="2"/>
      <c r="Q515" s="6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ht="12.75" customHeight="1">
      <c r="A516" s="2"/>
      <c r="B516" s="2"/>
      <c r="C516" s="3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5"/>
      <c r="P516" s="2"/>
      <c r="Q516" s="6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ht="12.75" customHeight="1">
      <c r="A517" s="2"/>
      <c r="B517" s="2"/>
      <c r="C517" s="3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5"/>
      <c r="P517" s="2"/>
      <c r="Q517" s="6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ht="12.75" customHeight="1">
      <c r="A518" s="2"/>
      <c r="B518" s="2"/>
      <c r="C518" s="3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5"/>
      <c r="P518" s="2"/>
      <c r="Q518" s="6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ht="12.75" customHeight="1">
      <c r="A519" s="2"/>
      <c r="B519" s="2"/>
      <c r="C519" s="3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5"/>
      <c r="P519" s="2"/>
      <c r="Q519" s="6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 ht="12.75" customHeight="1">
      <c r="A520" s="2"/>
      <c r="B520" s="2"/>
      <c r="C520" s="3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5"/>
      <c r="P520" s="2"/>
      <c r="Q520" s="6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 ht="12.75" customHeight="1">
      <c r="A521" s="2"/>
      <c r="B521" s="2"/>
      <c r="C521" s="3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5"/>
      <c r="P521" s="2"/>
      <c r="Q521" s="6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 ht="12.75" customHeight="1">
      <c r="A522" s="2"/>
      <c r="B522" s="2"/>
      <c r="C522" s="3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5"/>
      <c r="P522" s="2"/>
      <c r="Q522" s="6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 ht="12.75" customHeight="1">
      <c r="A523" s="2"/>
      <c r="B523" s="2"/>
      <c r="C523" s="3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5"/>
      <c r="P523" s="2"/>
      <c r="Q523" s="6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 ht="12.75" customHeight="1">
      <c r="A524" s="2"/>
      <c r="B524" s="2"/>
      <c r="C524" s="3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5"/>
      <c r="P524" s="2"/>
      <c r="Q524" s="6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 ht="12.75" customHeight="1">
      <c r="A525" s="2"/>
      <c r="B525" s="2"/>
      <c r="C525" s="3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5"/>
      <c r="P525" s="2"/>
      <c r="Q525" s="6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 ht="12.75" customHeight="1">
      <c r="A526" s="2"/>
      <c r="B526" s="2"/>
      <c r="C526" s="3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5"/>
      <c r="P526" s="2"/>
      <c r="Q526" s="6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 ht="12.75" customHeight="1">
      <c r="A527" s="2"/>
      <c r="B527" s="2"/>
      <c r="C527" s="3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5"/>
      <c r="P527" s="2"/>
      <c r="Q527" s="6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 ht="12.75" customHeight="1">
      <c r="A528" s="2"/>
      <c r="B528" s="2"/>
      <c r="C528" s="3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5"/>
      <c r="P528" s="2"/>
      <c r="Q528" s="6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 ht="12.75" customHeight="1">
      <c r="A529" s="2"/>
      <c r="B529" s="2"/>
      <c r="C529" s="3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5"/>
      <c r="P529" s="2"/>
      <c r="Q529" s="6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 ht="12.75" customHeight="1">
      <c r="A530" s="2"/>
      <c r="B530" s="2"/>
      <c r="C530" s="3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5"/>
      <c r="P530" s="2"/>
      <c r="Q530" s="6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 ht="12.75" customHeight="1">
      <c r="A531" s="2"/>
      <c r="B531" s="2"/>
      <c r="C531" s="3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5"/>
      <c r="P531" s="2"/>
      <c r="Q531" s="6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 ht="12.75" customHeight="1">
      <c r="A532" s="2"/>
      <c r="B532" s="2"/>
      <c r="C532" s="3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5"/>
      <c r="P532" s="2"/>
      <c r="Q532" s="6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 ht="12.75" customHeight="1">
      <c r="A533" s="2"/>
      <c r="B533" s="2"/>
      <c r="C533" s="3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5"/>
      <c r="P533" s="2"/>
      <c r="Q533" s="6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 ht="12.75" customHeight="1">
      <c r="A534" s="2"/>
      <c r="B534" s="2"/>
      <c r="C534" s="3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5"/>
      <c r="P534" s="2"/>
      <c r="Q534" s="6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 ht="12.75" customHeight="1">
      <c r="A535" s="2"/>
      <c r="B535" s="2"/>
      <c r="C535" s="3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5"/>
      <c r="P535" s="2"/>
      <c r="Q535" s="6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 ht="12.75" customHeight="1">
      <c r="A536" s="2"/>
      <c r="B536" s="2"/>
      <c r="C536" s="3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5"/>
      <c r="P536" s="2"/>
      <c r="Q536" s="6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 ht="12.75" customHeight="1">
      <c r="A537" s="2"/>
      <c r="B537" s="2"/>
      <c r="C537" s="3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5"/>
      <c r="P537" s="2"/>
      <c r="Q537" s="6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 ht="12.75" customHeight="1">
      <c r="A538" s="2"/>
      <c r="B538" s="2"/>
      <c r="C538" s="3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5"/>
      <c r="P538" s="2"/>
      <c r="Q538" s="6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 ht="12.75" customHeight="1">
      <c r="A539" s="2"/>
      <c r="B539" s="2"/>
      <c r="C539" s="3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5"/>
      <c r="P539" s="2"/>
      <c r="Q539" s="6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 ht="12.75" customHeight="1">
      <c r="A540" s="2"/>
      <c r="B540" s="2"/>
      <c r="C540" s="3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5"/>
      <c r="P540" s="2"/>
      <c r="Q540" s="6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 ht="12.75" customHeight="1">
      <c r="A541" s="2"/>
      <c r="B541" s="2"/>
      <c r="C541" s="3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5"/>
      <c r="P541" s="2"/>
      <c r="Q541" s="6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 ht="12.75" customHeight="1">
      <c r="A542" s="2"/>
      <c r="B542" s="2"/>
      <c r="C542" s="3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5"/>
      <c r="P542" s="2"/>
      <c r="Q542" s="6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 ht="12.75" customHeight="1">
      <c r="A543" s="2"/>
      <c r="B543" s="2"/>
      <c r="C543" s="3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5"/>
      <c r="P543" s="2"/>
      <c r="Q543" s="6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 ht="12.75" customHeight="1">
      <c r="A544" s="2"/>
      <c r="B544" s="2"/>
      <c r="C544" s="3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5"/>
      <c r="P544" s="2"/>
      <c r="Q544" s="6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 ht="12.75" customHeight="1">
      <c r="A545" s="2"/>
      <c r="B545" s="2"/>
      <c r="C545" s="3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5"/>
      <c r="P545" s="2"/>
      <c r="Q545" s="6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 ht="12.75" customHeight="1">
      <c r="A546" s="2"/>
      <c r="B546" s="2"/>
      <c r="C546" s="3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5"/>
      <c r="P546" s="2"/>
      <c r="Q546" s="6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 ht="12.75" customHeight="1">
      <c r="A547" s="2"/>
      <c r="B547" s="2"/>
      <c r="C547" s="3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5"/>
      <c r="P547" s="2"/>
      <c r="Q547" s="6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 ht="12.75" customHeight="1">
      <c r="A548" s="2"/>
      <c r="B548" s="2"/>
      <c r="C548" s="3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5"/>
      <c r="P548" s="2"/>
      <c r="Q548" s="6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 ht="12.75" customHeight="1">
      <c r="A549" s="2"/>
      <c r="B549" s="2"/>
      <c r="C549" s="3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5"/>
      <c r="P549" s="2"/>
      <c r="Q549" s="6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 ht="12.75" customHeight="1">
      <c r="A550" s="2"/>
      <c r="B550" s="2"/>
      <c r="C550" s="3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5"/>
      <c r="P550" s="2"/>
      <c r="Q550" s="6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 ht="12.75" customHeight="1">
      <c r="A551" s="2"/>
      <c r="B551" s="2"/>
      <c r="C551" s="3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5"/>
      <c r="P551" s="2"/>
      <c r="Q551" s="6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 ht="12.75" customHeight="1">
      <c r="A552" s="2"/>
      <c r="B552" s="2"/>
      <c r="C552" s="3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5"/>
      <c r="P552" s="2"/>
      <c r="Q552" s="6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 ht="12.75" customHeight="1">
      <c r="A553" s="2"/>
      <c r="B553" s="2"/>
      <c r="C553" s="3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5"/>
      <c r="P553" s="2"/>
      <c r="Q553" s="6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 ht="12.75" customHeight="1">
      <c r="A554" s="2"/>
      <c r="B554" s="2"/>
      <c r="C554" s="3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5"/>
      <c r="P554" s="2"/>
      <c r="Q554" s="6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 ht="12.75" customHeight="1">
      <c r="A555" s="2"/>
      <c r="B555" s="2"/>
      <c r="C555" s="3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5"/>
      <c r="P555" s="2"/>
      <c r="Q555" s="6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 ht="12.75" customHeight="1">
      <c r="A556" s="2"/>
      <c r="B556" s="2"/>
      <c r="C556" s="3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5"/>
      <c r="P556" s="2"/>
      <c r="Q556" s="6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 ht="12.75" customHeight="1">
      <c r="A557" s="2"/>
      <c r="B557" s="2"/>
      <c r="C557" s="3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5"/>
      <c r="P557" s="2"/>
      <c r="Q557" s="6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 ht="12.75" customHeight="1">
      <c r="A558" s="2"/>
      <c r="B558" s="2"/>
      <c r="C558" s="3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5"/>
      <c r="P558" s="2"/>
      <c r="Q558" s="6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 ht="12.75" customHeight="1">
      <c r="A559" s="2"/>
      <c r="B559" s="2"/>
      <c r="C559" s="3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5"/>
      <c r="P559" s="2"/>
      <c r="Q559" s="6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 ht="12.75" customHeight="1">
      <c r="A560" s="2"/>
      <c r="B560" s="2"/>
      <c r="C560" s="3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5"/>
      <c r="P560" s="2"/>
      <c r="Q560" s="6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 ht="12.75" customHeight="1">
      <c r="A561" s="2"/>
      <c r="B561" s="2"/>
      <c r="C561" s="3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5"/>
      <c r="P561" s="2"/>
      <c r="Q561" s="6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 ht="12.75" customHeight="1">
      <c r="A562" s="2"/>
      <c r="B562" s="2"/>
      <c r="C562" s="3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5"/>
      <c r="P562" s="2"/>
      <c r="Q562" s="6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 ht="12.75" customHeight="1">
      <c r="A563" s="2"/>
      <c r="B563" s="2"/>
      <c r="C563" s="3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5"/>
      <c r="P563" s="2"/>
      <c r="Q563" s="6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 ht="12.75" customHeight="1">
      <c r="A564" s="2"/>
      <c r="B564" s="2"/>
      <c r="C564" s="3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5"/>
      <c r="P564" s="2"/>
      <c r="Q564" s="6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 ht="12.75" customHeight="1">
      <c r="A565" s="2"/>
      <c r="B565" s="2"/>
      <c r="C565" s="3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5"/>
      <c r="P565" s="2"/>
      <c r="Q565" s="6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 ht="12.75" customHeight="1">
      <c r="A566" s="2"/>
      <c r="B566" s="2"/>
      <c r="C566" s="3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5"/>
      <c r="P566" s="2"/>
      <c r="Q566" s="6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 ht="12.75" customHeight="1">
      <c r="A567" s="2"/>
      <c r="B567" s="2"/>
      <c r="C567" s="3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5"/>
      <c r="P567" s="2"/>
      <c r="Q567" s="6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 ht="12.75" customHeight="1">
      <c r="A568" s="2"/>
      <c r="B568" s="2"/>
      <c r="C568" s="3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5"/>
      <c r="P568" s="2"/>
      <c r="Q568" s="6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 ht="12.75" customHeight="1">
      <c r="A569" s="2"/>
      <c r="B569" s="2"/>
      <c r="C569" s="3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5"/>
      <c r="P569" s="2"/>
      <c r="Q569" s="6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 ht="12.75" customHeight="1">
      <c r="A570" s="2"/>
      <c r="B570" s="2"/>
      <c r="C570" s="3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5"/>
      <c r="P570" s="2"/>
      <c r="Q570" s="6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 ht="12.75" customHeight="1">
      <c r="A571" s="2"/>
      <c r="B571" s="2"/>
      <c r="C571" s="3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5"/>
      <c r="P571" s="2"/>
      <c r="Q571" s="6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 ht="12.75" customHeight="1">
      <c r="A572" s="2"/>
      <c r="B572" s="2"/>
      <c r="C572" s="3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5"/>
      <c r="P572" s="2"/>
      <c r="Q572" s="6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 ht="12.75" customHeight="1">
      <c r="A573" s="2"/>
      <c r="B573" s="2"/>
      <c r="C573" s="3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5"/>
      <c r="P573" s="2"/>
      <c r="Q573" s="6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 ht="12.75" customHeight="1">
      <c r="A574" s="2"/>
      <c r="B574" s="2"/>
      <c r="C574" s="3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5"/>
      <c r="P574" s="2"/>
      <c r="Q574" s="6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 ht="12.75" customHeight="1">
      <c r="A575" s="2"/>
      <c r="B575" s="2"/>
      <c r="C575" s="3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5"/>
      <c r="P575" s="2"/>
      <c r="Q575" s="6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 ht="12.75" customHeight="1">
      <c r="A576" s="2"/>
      <c r="B576" s="2"/>
      <c r="C576" s="3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5"/>
      <c r="P576" s="2"/>
      <c r="Q576" s="6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 ht="12.75" customHeight="1">
      <c r="A577" s="2"/>
      <c r="B577" s="2"/>
      <c r="C577" s="3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5"/>
      <c r="P577" s="2"/>
      <c r="Q577" s="6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 ht="12.75" customHeight="1">
      <c r="A578" s="2"/>
      <c r="B578" s="2"/>
      <c r="C578" s="3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5"/>
      <c r="P578" s="2"/>
      <c r="Q578" s="6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 ht="12.75" customHeight="1">
      <c r="A579" s="2"/>
      <c r="B579" s="2"/>
      <c r="C579" s="3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5"/>
      <c r="P579" s="2"/>
      <c r="Q579" s="6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 ht="12.75" customHeight="1">
      <c r="A580" s="2"/>
      <c r="B580" s="2"/>
      <c r="C580" s="3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5"/>
      <c r="P580" s="2"/>
      <c r="Q580" s="6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 ht="12.75" customHeight="1">
      <c r="A581" s="2"/>
      <c r="B581" s="2"/>
      <c r="C581" s="3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5"/>
      <c r="P581" s="2"/>
      <c r="Q581" s="6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 ht="12.75" customHeight="1">
      <c r="A582" s="2"/>
      <c r="B582" s="2"/>
      <c r="C582" s="3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5"/>
      <c r="P582" s="2"/>
      <c r="Q582" s="6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 ht="12.75" customHeight="1">
      <c r="A583" s="2"/>
      <c r="B583" s="2"/>
      <c r="C583" s="3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5"/>
      <c r="P583" s="2"/>
      <c r="Q583" s="6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 ht="12.75" customHeight="1">
      <c r="A584" s="2"/>
      <c r="B584" s="2"/>
      <c r="C584" s="3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5"/>
      <c r="P584" s="2"/>
      <c r="Q584" s="6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 ht="12.75" customHeight="1">
      <c r="A585" s="2"/>
      <c r="B585" s="2"/>
      <c r="C585" s="3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5"/>
      <c r="P585" s="2"/>
      <c r="Q585" s="6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 ht="12.75" customHeight="1">
      <c r="A586" s="2"/>
      <c r="B586" s="2"/>
      <c r="C586" s="3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5"/>
      <c r="P586" s="2"/>
      <c r="Q586" s="6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 ht="12.75" customHeight="1">
      <c r="A587" s="2"/>
      <c r="B587" s="2"/>
      <c r="C587" s="3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5"/>
      <c r="P587" s="2"/>
      <c r="Q587" s="6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 ht="12.75" customHeight="1">
      <c r="A588" s="2"/>
      <c r="B588" s="2"/>
      <c r="C588" s="3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5"/>
      <c r="P588" s="2"/>
      <c r="Q588" s="6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 ht="12.75" customHeight="1">
      <c r="A589" s="2"/>
      <c r="B589" s="2"/>
      <c r="C589" s="3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5"/>
      <c r="P589" s="2"/>
      <c r="Q589" s="6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 ht="12.75" customHeight="1">
      <c r="A590" s="2"/>
      <c r="B590" s="2"/>
      <c r="C590" s="3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5"/>
      <c r="P590" s="2"/>
      <c r="Q590" s="6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 ht="12.75" customHeight="1">
      <c r="A591" s="2"/>
      <c r="B591" s="2"/>
      <c r="C591" s="3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5"/>
      <c r="P591" s="2"/>
      <c r="Q591" s="6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 ht="12.75" customHeight="1">
      <c r="A592" s="2"/>
      <c r="B592" s="2"/>
      <c r="C592" s="3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5"/>
      <c r="P592" s="2"/>
      <c r="Q592" s="6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 ht="12.75" customHeight="1">
      <c r="A593" s="2"/>
      <c r="B593" s="2"/>
      <c r="C593" s="3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5"/>
      <c r="P593" s="2"/>
      <c r="Q593" s="6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 ht="12.75" customHeight="1">
      <c r="A594" s="2"/>
      <c r="B594" s="2"/>
      <c r="C594" s="3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5"/>
      <c r="P594" s="2"/>
      <c r="Q594" s="6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 ht="12.75" customHeight="1">
      <c r="A595" s="2"/>
      <c r="B595" s="2"/>
      <c r="C595" s="3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5"/>
      <c r="P595" s="2"/>
      <c r="Q595" s="6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 ht="12.75" customHeight="1">
      <c r="A596" s="2"/>
      <c r="B596" s="2"/>
      <c r="C596" s="3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5"/>
      <c r="P596" s="2"/>
      <c r="Q596" s="6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 ht="12.75" customHeight="1">
      <c r="A597" s="2"/>
      <c r="B597" s="2"/>
      <c r="C597" s="3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5"/>
      <c r="P597" s="2"/>
      <c r="Q597" s="6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 ht="12.75" customHeight="1">
      <c r="A598" s="2"/>
      <c r="B598" s="2"/>
      <c r="C598" s="3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5"/>
      <c r="P598" s="2"/>
      <c r="Q598" s="6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 ht="12.75" customHeight="1">
      <c r="A599" s="2"/>
      <c r="B599" s="2"/>
      <c r="C599" s="3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5"/>
      <c r="P599" s="2"/>
      <c r="Q599" s="6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 ht="12.75" customHeight="1">
      <c r="A600" s="2"/>
      <c r="B600" s="2"/>
      <c r="C600" s="3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5"/>
      <c r="P600" s="2"/>
      <c r="Q600" s="6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 ht="12.75" customHeight="1">
      <c r="A601" s="2"/>
      <c r="B601" s="2"/>
      <c r="C601" s="3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5"/>
      <c r="P601" s="2"/>
      <c r="Q601" s="6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 ht="12.75" customHeight="1">
      <c r="A602" s="2"/>
      <c r="B602" s="2"/>
      <c r="C602" s="3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5"/>
      <c r="P602" s="2"/>
      <c r="Q602" s="6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 ht="12.75" customHeight="1">
      <c r="A603" s="2"/>
      <c r="B603" s="2"/>
      <c r="C603" s="3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5"/>
      <c r="P603" s="2"/>
      <c r="Q603" s="6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 ht="12.75" customHeight="1">
      <c r="A604" s="2"/>
      <c r="B604" s="2"/>
      <c r="C604" s="3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5"/>
      <c r="P604" s="2"/>
      <c r="Q604" s="6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 ht="12.75" customHeight="1">
      <c r="A605" s="2"/>
      <c r="B605" s="2"/>
      <c r="C605" s="3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5"/>
      <c r="P605" s="2"/>
      <c r="Q605" s="6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ht="12.75" customHeight="1">
      <c r="A606" s="2"/>
      <c r="B606" s="2"/>
      <c r="C606" s="3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5"/>
      <c r="P606" s="2"/>
      <c r="Q606" s="6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ht="12.75" customHeight="1">
      <c r="A607" s="2"/>
      <c r="B607" s="2"/>
      <c r="C607" s="3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5"/>
      <c r="P607" s="2"/>
      <c r="Q607" s="6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ht="12.75" customHeight="1">
      <c r="A608" s="2"/>
      <c r="B608" s="2"/>
      <c r="C608" s="3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5"/>
      <c r="P608" s="2"/>
      <c r="Q608" s="6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ht="12.75" customHeight="1">
      <c r="A609" s="2"/>
      <c r="B609" s="2"/>
      <c r="C609" s="3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5"/>
      <c r="P609" s="2"/>
      <c r="Q609" s="6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ht="12.75" customHeight="1">
      <c r="A610" s="2"/>
      <c r="B610" s="2"/>
      <c r="C610" s="3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5"/>
      <c r="P610" s="2"/>
      <c r="Q610" s="6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ht="12.75" customHeight="1">
      <c r="A611" s="2"/>
      <c r="B611" s="2"/>
      <c r="C611" s="3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5"/>
      <c r="P611" s="2"/>
      <c r="Q611" s="6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ht="12.75" customHeight="1">
      <c r="A612" s="2"/>
      <c r="B612" s="2"/>
      <c r="C612" s="3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5"/>
      <c r="P612" s="2"/>
      <c r="Q612" s="6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ht="12.75" customHeight="1">
      <c r="A613" s="2"/>
      <c r="B613" s="2"/>
      <c r="C613" s="3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5"/>
      <c r="P613" s="2"/>
      <c r="Q613" s="6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ht="12.75" customHeight="1">
      <c r="A614" s="2"/>
      <c r="B614" s="2"/>
      <c r="C614" s="3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5"/>
      <c r="P614" s="2"/>
      <c r="Q614" s="6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ht="12.75" customHeight="1">
      <c r="A615" s="2"/>
      <c r="B615" s="2"/>
      <c r="C615" s="3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5"/>
      <c r="P615" s="2"/>
      <c r="Q615" s="6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ht="12.75" customHeight="1">
      <c r="A616" s="2"/>
      <c r="B616" s="2"/>
      <c r="C616" s="3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5"/>
      <c r="P616" s="2"/>
      <c r="Q616" s="6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ht="12.75" customHeight="1">
      <c r="A617" s="2"/>
      <c r="B617" s="2"/>
      <c r="C617" s="3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5"/>
      <c r="P617" s="2"/>
      <c r="Q617" s="6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ht="12.75" customHeight="1">
      <c r="A618" s="2"/>
      <c r="B618" s="2"/>
      <c r="C618" s="3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5"/>
      <c r="P618" s="2"/>
      <c r="Q618" s="6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ht="12.75" customHeight="1">
      <c r="A619" s="2"/>
      <c r="B619" s="2"/>
      <c r="C619" s="3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5"/>
      <c r="P619" s="2"/>
      <c r="Q619" s="6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ht="12.75" customHeight="1">
      <c r="A620" s="2"/>
      <c r="B620" s="2"/>
      <c r="C620" s="3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5"/>
      <c r="P620" s="2"/>
      <c r="Q620" s="6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ht="12.75" customHeight="1">
      <c r="A621" s="2"/>
      <c r="B621" s="2"/>
      <c r="C621" s="3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5"/>
      <c r="P621" s="2"/>
      <c r="Q621" s="6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ht="12.75" customHeight="1">
      <c r="A622" s="2"/>
      <c r="B622" s="2"/>
      <c r="C622" s="3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5"/>
      <c r="P622" s="2"/>
      <c r="Q622" s="6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ht="12.75" customHeight="1">
      <c r="A623" s="2"/>
      <c r="B623" s="2"/>
      <c r="C623" s="3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5"/>
      <c r="P623" s="2"/>
      <c r="Q623" s="6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ht="12.75" customHeight="1">
      <c r="A624" s="2"/>
      <c r="B624" s="2"/>
      <c r="C624" s="3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5"/>
      <c r="P624" s="2"/>
      <c r="Q624" s="6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ht="12.75" customHeight="1">
      <c r="A625" s="2"/>
      <c r="B625" s="2"/>
      <c r="C625" s="3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5"/>
      <c r="P625" s="2"/>
      <c r="Q625" s="6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ht="12.75" customHeight="1">
      <c r="A626" s="2"/>
      <c r="B626" s="2"/>
      <c r="C626" s="3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5"/>
      <c r="P626" s="2"/>
      <c r="Q626" s="6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ht="12.75" customHeight="1">
      <c r="A627" s="2"/>
      <c r="B627" s="2"/>
      <c r="C627" s="3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5"/>
      <c r="P627" s="2"/>
      <c r="Q627" s="6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ht="12.75" customHeight="1">
      <c r="A628" s="2"/>
      <c r="B628" s="2"/>
      <c r="C628" s="3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5"/>
      <c r="P628" s="2"/>
      <c r="Q628" s="6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ht="12.75" customHeight="1">
      <c r="A629" s="2"/>
      <c r="B629" s="2"/>
      <c r="C629" s="3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5"/>
      <c r="P629" s="2"/>
      <c r="Q629" s="6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ht="12.75" customHeight="1">
      <c r="A630" s="2"/>
      <c r="B630" s="2"/>
      <c r="C630" s="3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5"/>
      <c r="P630" s="2"/>
      <c r="Q630" s="6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ht="12.75" customHeight="1">
      <c r="A631" s="2"/>
      <c r="B631" s="2"/>
      <c r="C631" s="3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5"/>
      <c r="P631" s="2"/>
      <c r="Q631" s="6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ht="12.75" customHeight="1">
      <c r="A632" s="2"/>
      <c r="B632" s="2"/>
      <c r="C632" s="3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5"/>
      <c r="P632" s="2"/>
      <c r="Q632" s="6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ht="12.75" customHeight="1">
      <c r="A633" s="2"/>
      <c r="B633" s="2"/>
      <c r="C633" s="3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5"/>
      <c r="P633" s="2"/>
      <c r="Q633" s="6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ht="12.75" customHeight="1">
      <c r="A634" s="2"/>
      <c r="B634" s="2"/>
      <c r="C634" s="3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5"/>
      <c r="P634" s="2"/>
      <c r="Q634" s="6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ht="12.75" customHeight="1">
      <c r="A635" s="2"/>
      <c r="B635" s="2"/>
      <c r="C635" s="3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5"/>
      <c r="P635" s="2"/>
      <c r="Q635" s="6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ht="12.75" customHeight="1">
      <c r="A636" s="2"/>
      <c r="B636" s="2"/>
      <c r="C636" s="3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5"/>
      <c r="P636" s="2"/>
      <c r="Q636" s="6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ht="12.75" customHeight="1">
      <c r="A637" s="2"/>
      <c r="B637" s="2"/>
      <c r="C637" s="3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5"/>
      <c r="P637" s="2"/>
      <c r="Q637" s="6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ht="12.75" customHeight="1">
      <c r="A638" s="2"/>
      <c r="B638" s="2"/>
      <c r="C638" s="3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5"/>
      <c r="P638" s="2"/>
      <c r="Q638" s="6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 ht="12.75" customHeight="1">
      <c r="A639" s="2"/>
      <c r="B639" s="2"/>
      <c r="C639" s="3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5"/>
      <c r="P639" s="2"/>
      <c r="Q639" s="6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 ht="12.75" customHeight="1">
      <c r="A640" s="2"/>
      <c r="B640" s="2"/>
      <c r="C640" s="3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5"/>
      <c r="P640" s="2"/>
      <c r="Q640" s="6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 ht="12.75" customHeight="1">
      <c r="A641" s="2"/>
      <c r="B641" s="2"/>
      <c r="C641" s="3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5"/>
      <c r="P641" s="2"/>
      <c r="Q641" s="6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 ht="12.75" customHeight="1">
      <c r="A642" s="2"/>
      <c r="B642" s="2"/>
      <c r="C642" s="3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5"/>
      <c r="P642" s="2"/>
      <c r="Q642" s="6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 ht="12.75" customHeight="1">
      <c r="A643" s="2"/>
      <c r="B643" s="2"/>
      <c r="C643" s="3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5"/>
      <c r="P643" s="2"/>
      <c r="Q643" s="6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 ht="12.75" customHeight="1">
      <c r="A644" s="2"/>
      <c r="B644" s="2"/>
      <c r="C644" s="3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5"/>
      <c r="P644" s="2"/>
      <c r="Q644" s="6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 ht="12.75" customHeight="1">
      <c r="A645" s="2"/>
      <c r="B645" s="2"/>
      <c r="C645" s="3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5"/>
      <c r="P645" s="2"/>
      <c r="Q645" s="6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 ht="12.75" customHeight="1">
      <c r="A646" s="2"/>
      <c r="B646" s="2"/>
      <c r="C646" s="3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5"/>
      <c r="P646" s="2"/>
      <c r="Q646" s="6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 ht="12.75" customHeight="1">
      <c r="A647" s="2"/>
      <c r="B647" s="2"/>
      <c r="C647" s="3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5"/>
      <c r="P647" s="2"/>
      <c r="Q647" s="6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 ht="12.75" customHeight="1">
      <c r="A648" s="2"/>
      <c r="B648" s="2"/>
      <c r="C648" s="3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5"/>
      <c r="P648" s="2"/>
      <c r="Q648" s="6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 ht="12.75" customHeight="1">
      <c r="A649" s="2"/>
      <c r="B649" s="2"/>
      <c r="C649" s="3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5"/>
      <c r="P649" s="2"/>
      <c r="Q649" s="6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 ht="12.75" customHeight="1">
      <c r="A650" s="2"/>
      <c r="B650" s="2"/>
      <c r="C650" s="3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5"/>
      <c r="P650" s="2"/>
      <c r="Q650" s="6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 ht="12.75" customHeight="1">
      <c r="A651" s="2"/>
      <c r="B651" s="2"/>
      <c r="C651" s="3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5"/>
      <c r="P651" s="2"/>
      <c r="Q651" s="6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 ht="12.75" customHeight="1">
      <c r="A652" s="2"/>
      <c r="B652" s="2"/>
      <c r="C652" s="3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5"/>
      <c r="P652" s="2"/>
      <c r="Q652" s="6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 ht="12.75" customHeight="1">
      <c r="A653" s="2"/>
      <c r="B653" s="2"/>
      <c r="C653" s="3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5"/>
      <c r="P653" s="2"/>
      <c r="Q653" s="6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 ht="12.75" customHeight="1">
      <c r="A654" s="2"/>
      <c r="B654" s="2"/>
      <c r="C654" s="3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5"/>
      <c r="P654" s="2"/>
      <c r="Q654" s="6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 ht="12.75" customHeight="1">
      <c r="A655" s="2"/>
      <c r="B655" s="2"/>
      <c r="C655" s="3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5"/>
      <c r="P655" s="2"/>
      <c r="Q655" s="6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 ht="12.75" customHeight="1">
      <c r="A656" s="2"/>
      <c r="B656" s="2"/>
      <c r="C656" s="3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5"/>
      <c r="P656" s="2"/>
      <c r="Q656" s="6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 ht="12.75" customHeight="1">
      <c r="A657" s="2"/>
      <c r="B657" s="2"/>
      <c r="C657" s="3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5"/>
      <c r="P657" s="2"/>
      <c r="Q657" s="6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 ht="12.75" customHeight="1">
      <c r="A658" s="2"/>
      <c r="B658" s="2"/>
      <c r="C658" s="3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5"/>
      <c r="P658" s="2"/>
      <c r="Q658" s="6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 ht="12.75" customHeight="1">
      <c r="A659" s="2"/>
      <c r="B659" s="2"/>
      <c r="C659" s="3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5"/>
      <c r="P659" s="2"/>
      <c r="Q659" s="6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 ht="12.75" customHeight="1">
      <c r="A660" s="2"/>
      <c r="B660" s="2"/>
      <c r="C660" s="3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5"/>
      <c r="P660" s="2"/>
      <c r="Q660" s="6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 ht="12.75" customHeight="1">
      <c r="A661" s="2"/>
      <c r="B661" s="2"/>
      <c r="C661" s="3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5"/>
      <c r="P661" s="2"/>
      <c r="Q661" s="6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 ht="12.75" customHeight="1">
      <c r="A662" s="2"/>
      <c r="B662" s="2"/>
      <c r="C662" s="3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5"/>
      <c r="P662" s="2"/>
      <c r="Q662" s="6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 ht="12.75" customHeight="1">
      <c r="A663" s="2"/>
      <c r="B663" s="2"/>
      <c r="C663" s="3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5"/>
      <c r="P663" s="2"/>
      <c r="Q663" s="6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 ht="12.75" customHeight="1">
      <c r="A664" s="2"/>
      <c r="B664" s="2"/>
      <c r="C664" s="3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5"/>
      <c r="P664" s="2"/>
      <c r="Q664" s="6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 ht="12.75" customHeight="1">
      <c r="A665" s="2"/>
      <c r="B665" s="2"/>
      <c r="C665" s="3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5"/>
      <c r="P665" s="2"/>
      <c r="Q665" s="6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 ht="12.75" customHeight="1">
      <c r="A666" s="2"/>
      <c r="B666" s="2"/>
      <c r="C666" s="3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5"/>
      <c r="P666" s="2"/>
      <c r="Q666" s="6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 ht="12.75" customHeight="1">
      <c r="A667" s="2"/>
      <c r="B667" s="2"/>
      <c r="C667" s="3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5"/>
      <c r="P667" s="2"/>
      <c r="Q667" s="6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 ht="12.75" customHeight="1">
      <c r="A668" s="2"/>
      <c r="B668" s="2"/>
      <c r="C668" s="3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5"/>
      <c r="P668" s="2"/>
      <c r="Q668" s="6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 ht="12.75" customHeight="1">
      <c r="A669" s="2"/>
      <c r="B669" s="2"/>
      <c r="C669" s="3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5"/>
      <c r="P669" s="2"/>
      <c r="Q669" s="6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 ht="12.75" customHeight="1">
      <c r="A670" s="2"/>
      <c r="B670" s="2"/>
      <c r="C670" s="3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5"/>
      <c r="P670" s="2"/>
      <c r="Q670" s="6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 ht="12.75" customHeight="1">
      <c r="A671" s="2"/>
      <c r="B671" s="2"/>
      <c r="C671" s="3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5"/>
      <c r="P671" s="2"/>
      <c r="Q671" s="6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2" ht="12.75" customHeight="1">
      <c r="A672" s="2"/>
      <c r="B672" s="2"/>
      <c r="C672" s="3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5"/>
      <c r="P672" s="2"/>
      <c r="Q672" s="6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</row>
    <row r="673" ht="12.75" customHeight="1">
      <c r="A673" s="2"/>
      <c r="B673" s="2"/>
      <c r="C673" s="3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5"/>
      <c r="P673" s="2"/>
      <c r="Q673" s="6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 ht="12.75" customHeight="1">
      <c r="A674" s="2"/>
      <c r="B674" s="2"/>
      <c r="C674" s="3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5"/>
      <c r="P674" s="2"/>
      <c r="Q674" s="6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 ht="12.75" customHeight="1">
      <c r="A675" s="2"/>
      <c r="B675" s="2"/>
      <c r="C675" s="3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5"/>
      <c r="P675" s="2"/>
      <c r="Q675" s="6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 ht="12.75" customHeight="1">
      <c r="A676" s="2"/>
      <c r="B676" s="2"/>
      <c r="C676" s="3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5"/>
      <c r="P676" s="2"/>
      <c r="Q676" s="6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 ht="12.75" customHeight="1">
      <c r="A677" s="2"/>
      <c r="B677" s="2"/>
      <c r="C677" s="3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5"/>
      <c r="P677" s="2"/>
      <c r="Q677" s="6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 ht="12.75" customHeight="1">
      <c r="A678" s="2"/>
      <c r="B678" s="2"/>
      <c r="C678" s="3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5"/>
      <c r="P678" s="2"/>
      <c r="Q678" s="6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 ht="12.75" customHeight="1">
      <c r="A679" s="2"/>
      <c r="B679" s="2"/>
      <c r="C679" s="3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5"/>
      <c r="P679" s="2"/>
      <c r="Q679" s="6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 ht="12.75" customHeight="1">
      <c r="A680" s="2"/>
      <c r="B680" s="2"/>
      <c r="C680" s="3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5"/>
      <c r="P680" s="2"/>
      <c r="Q680" s="6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 ht="12.75" customHeight="1">
      <c r="A681" s="2"/>
      <c r="B681" s="2"/>
      <c r="C681" s="3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5"/>
      <c r="P681" s="2"/>
      <c r="Q681" s="6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 ht="12.75" customHeight="1">
      <c r="A682" s="2"/>
      <c r="B682" s="2"/>
      <c r="C682" s="3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5"/>
      <c r="P682" s="2"/>
      <c r="Q682" s="6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 ht="12.75" customHeight="1">
      <c r="A683" s="2"/>
      <c r="B683" s="2"/>
      <c r="C683" s="3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5"/>
      <c r="P683" s="2"/>
      <c r="Q683" s="6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 ht="12.75" customHeight="1">
      <c r="A684" s="2"/>
      <c r="B684" s="2"/>
      <c r="C684" s="3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5"/>
      <c r="P684" s="2"/>
      <c r="Q684" s="6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 ht="12.75" customHeight="1">
      <c r="A685" s="2"/>
      <c r="B685" s="2"/>
      <c r="C685" s="3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5"/>
      <c r="P685" s="2"/>
      <c r="Q685" s="6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 ht="12.75" customHeight="1">
      <c r="A686" s="2"/>
      <c r="B686" s="2"/>
      <c r="C686" s="3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5"/>
      <c r="P686" s="2"/>
      <c r="Q686" s="6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 ht="12.75" customHeight="1">
      <c r="A687" s="2"/>
      <c r="B687" s="2"/>
      <c r="C687" s="3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5"/>
      <c r="P687" s="2"/>
      <c r="Q687" s="6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 ht="12.75" customHeight="1">
      <c r="A688" s="2"/>
      <c r="B688" s="2"/>
      <c r="C688" s="3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5"/>
      <c r="P688" s="2"/>
      <c r="Q688" s="6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 ht="12.75" customHeight="1">
      <c r="A689" s="2"/>
      <c r="B689" s="2"/>
      <c r="C689" s="3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5"/>
      <c r="P689" s="2"/>
      <c r="Q689" s="6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 ht="12.75" customHeight="1">
      <c r="A690" s="2"/>
      <c r="B690" s="2"/>
      <c r="C690" s="3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5"/>
      <c r="P690" s="2"/>
      <c r="Q690" s="6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 ht="12.75" customHeight="1">
      <c r="A691" s="2"/>
      <c r="B691" s="2"/>
      <c r="C691" s="3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5"/>
      <c r="P691" s="2"/>
      <c r="Q691" s="6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 ht="12.75" customHeight="1">
      <c r="A692" s="2"/>
      <c r="B692" s="2"/>
      <c r="C692" s="3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5"/>
      <c r="P692" s="2"/>
      <c r="Q692" s="6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 ht="12.75" customHeight="1">
      <c r="A693" s="2"/>
      <c r="B693" s="2"/>
      <c r="C693" s="3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5"/>
      <c r="P693" s="2"/>
      <c r="Q693" s="6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 ht="12.75" customHeight="1">
      <c r="A694" s="2"/>
      <c r="B694" s="2"/>
      <c r="C694" s="3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5"/>
      <c r="P694" s="2"/>
      <c r="Q694" s="6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 ht="12.75" customHeight="1">
      <c r="A695" s="2"/>
      <c r="B695" s="2"/>
      <c r="C695" s="3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5"/>
      <c r="P695" s="2"/>
      <c r="Q695" s="6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 ht="12.75" customHeight="1">
      <c r="A696" s="2"/>
      <c r="B696" s="2"/>
      <c r="C696" s="3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5"/>
      <c r="P696" s="2"/>
      <c r="Q696" s="6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 ht="12.75" customHeight="1">
      <c r="A697" s="2"/>
      <c r="B697" s="2"/>
      <c r="C697" s="3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5"/>
      <c r="P697" s="2"/>
      <c r="Q697" s="6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 ht="12.75" customHeight="1">
      <c r="A698" s="2"/>
      <c r="B698" s="2"/>
      <c r="C698" s="3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5"/>
      <c r="P698" s="2"/>
      <c r="Q698" s="6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 ht="12.75" customHeight="1">
      <c r="A699" s="2"/>
      <c r="B699" s="2"/>
      <c r="C699" s="3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5"/>
      <c r="P699" s="2"/>
      <c r="Q699" s="6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 ht="12.75" customHeight="1">
      <c r="A700" s="2"/>
      <c r="B700" s="2"/>
      <c r="C700" s="3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5"/>
      <c r="P700" s="2"/>
      <c r="Q700" s="6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 ht="12.75" customHeight="1">
      <c r="A701" s="2"/>
      <c r="B701" s="2"/>
      <c r="C701" s="3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5"/>
      <c r="P701" s="2"/>
      <c r="Q701" s="6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 ht="12.75" customHeight="1">
      <c r="A702" s="2"/>
      <c r="B702" s="2"/>
      <c r="C702" s="3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5"/>
      <c r="P702" s="2"/>
      <c r="Q702" s="6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 ht="12.75" customHeight="1">
      <c r="A703" s="2"/>
      <c r="B703" s="2"/>
      <c r="C703" s="3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5"/>
      <c r="P703" s="2"/>
      <c r="Q703" s="6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 ht="12.75" customHeight="1">
      <c r="A704" s="2"/>
      <c r="B704" s="2"/>
      <c r="C704" s="3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5"/>
      <c r="P704" s="2"/>
      <c r="Q704" s="6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 ht="12.75" customHeight="1">
      <c r="A705" s="2"/>
      <c r="B705" s="2"/>
      <c r="C705" s="3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5"/>
      <c r="P705" s="2"/>
      <c r="Q705" s="6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 ht="12.75" customHeight="1">
      <c r="A706" s="2"/>
      <c r="B706" s="2"/>
      <c r="C706" s="3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5"/>
      <c r="P706" s="2"/>
      <c r="Q706" s="6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 ht="12.75" customHeight="1">
      <c r="A707" s="2"/>
      <c r="B707" s="2"/>
      <c r="C707" s="3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5"/>
      <c r="P707" s="2"/>
      <c r="Q707" s="6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 ht="12.75" customHeight="1">
      <c r="A708" s="2"/>
      <c r="B708" s="2"/>
      <c r="C708" s="3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5"/>
      <c r="P708" s="2"/>
      <c r="Q708" s="6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 ht="12.75" customHeight="1">
      <c r="A709" s="2"/>
      <c r="B709" s="2"/>
      <c r="C709" s="3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5"/>
      <c r="P709" s="2"/>
      <c r="Q709" s="6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 ht="12.75" customHeight="1">
      <c r="A710" s="2"/>
      <c r="B710" s="2"/>
      <c r="C710" s="3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5"/>
      <c r="P710" s="2"/>
      <c r="Q710" s="6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 ht="12.75" customHeight="1">
      <c r="A711" s="2"/>
      <c r="B711" s="2"/>
      <c r="C711" s="3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5"/>
      <c r="P711" s="2"/>
      <c r="Q711" s="6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 ht="12.75" customHeight="1">
      <c r="A712" s="2"/>
      <c r="B712" s="2"/>
      <c r="C712" s="3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5"/>
      <c r="P712" s="2"/>
      <c r="Q712" s="6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 ht="12.75" customHeight="1">
      <c r="A713" s="2"/>
      <c r="B713" s="2"/>
      <c r="C713" s="3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5"/>
      <c r="P713" s="2"/>
      <c r="Q713" s="6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  <row r="714" ht="12.75" customHeight="1">
      <c r="A714" s="2"/>
      <c r="B714" s="2"/>
      <c r="C714" s="3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5"/>
      <c r="P714" s="2"/>
      <c r="Q714" s="6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</row>
    <row r="715" ht="12.75" customHeight="1">
      <c r="A715" s="2"/>
      <c r="B715" s="2"/>
      <c r="C715" s="3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5"/>
      <c r="P715" s="2"/>
      <c r="Q715" s="6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</row>
    <row r="716" ht="12.75" customHeight="1">
      <c r="A716" s="2"/>
      <c r="B716" s="2"/>
      <c r="C716" s="3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5"/>
      <c r="P716" s="2"/>
      <c r="Q716" s="6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</row>
    <row r="717" ht="12.75" customHeight="1">
      <c r="A717" s="2"/>
      <c r="B717" s="2"/>
      <c r="C717" s="3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5"/>
      <c r="P717" s="2"/>
      <c r="Q717" s="6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</row>
    <row r="718" ht="12.75" customHeight="1">
      <c r="A718" s="2"/>
      <c r="B718" s="2"/>
      <c r="C718" s="3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5"/>
      <c r="P718" s="2"/>
      <c r="Q718" s="6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</row>
    <row r="719" ht="12.75" customHeight="1">
      <c r="A719" s="2"/>
      <c r="B719" s="2"/>
      <c r="C719" s="3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5"/>
      <c r="P719" s="2"/>
      <c r="Q719" s="6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</row>
    <row r="720" ht="12.75" customHeight="1">
      <c r="A720" s="2"/>
      <c r="B720" s="2"/>
      <c r="C720" s="3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5"/>
      <c r="P720" s="2"/>
      <c r="Q720" s="6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</row>
    <row r="721" ht="12.75" customHeight="1">
      <c r="A721" s="2"/>
      <c r="B721" s="2"/>
      <c r="C721" s="3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5"/>
      <c r="P721" s="2"/>
      <c r="Q721" s="6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</row>
    <row r="722" ht="12.75" customHeight="1">
      <c r="A722" s="2"/>
      <c r="B722" s="2"/>
      <c r="C722" s="3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5"/>
      <c r="P722" s="2"/>
      <c r="Q722" s="6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</row>
    <row r="723" ht="12.75" customHeight="1">
      <c r="A723" s="2"/>
      <c r="B723" s="2"/>
      <c r="C723" s="3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5"/>
      <c r="P723" s="2"/>
      <c r="Q723" s="6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</row>
    <row r="724" ht="12.75" customHeight="1">
      <c r="A724" s="2"/>
      <c r="B724" s="2"/>
      <c r="C724" s="3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5"/>
      <c r="P724" s="2"/>
      <c r="Q724" s="6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</row>
    <row r="725" ht="12.75" customHeight="1">
      <c r="A725" s="2"/>
      <c r="B725" s="2"/>
      <c r="C725" s="3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5"/>
      <c r="P725" s="2"/>
      <c r="Q725" s="6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</row>
    <row r="726" ht="12.75" customHeight="1">
      <c r="A726" s="2"/>
      <c r="B726" s="2"/>
      <c r="C726" s="3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5"/>
      <c r="P726" s="2"/>
      <c r="Q726" s="6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</row>
    <row r="727" ht="12.75" customHeight="1">
      <c r="A727" s="2"/>
      <c r="B727" s="2"/>
      <c r="C727" s="3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5"/>
      <c r="P727" s="2"/>
      <c r="Q727" s="6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</row>
    <row r="728" ht="12.75" customHeight="1">
      <c r="A728" s="2"/>
      <c r="B728" s="2"/>
      <c r="C728" s="3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5"/>
      <c r="P728" s="2"/>
      <c r="Q728" s="6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</row>
    <row r="729" ht="12.75" customHeight="1">
      <c r="A729" s="2"/>
      <c r="B729" s="2"/>
      <c r="C729" s="3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5"/>
      <c r="P729" s="2"/>
      <c r="Q729" s="6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</row>
    <row r="730" ht="12.75" customHeight="1">
      <c r="A730" s="2"/>
      <c r="B730" s="2"/>
      <c r="C730" s="3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5"/>
      <c r="P730" s="2"/>
      <c r="Q730" s="6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</row>
    <row r="731" ht="12.75" customHeight="1">
      <c r="A731" s="2"/>
      <c r="B731" s="2"/>
      <c r="C731" s="3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5"/>
      <c r="P731" s="2"/>
      <c r="Q731" s="6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</row>
    <row r="732" ht="12.75" customHeight="1">
      <c r="A732" s="2"/>
      <c r="B732" s="2"/>
      <c r="C732" s="3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5"/>
      <c r="P732" s="2"/>
      <c r="Q732" s="6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</row>
    <row r="733" ht="12.75" customHeight="1">
      <c r="A733" s="2"/>
      <c r="B733" s="2"/>
      <c r="C733" s="3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5"/>
      <c r="P733" s="2"/>
      <c r="Q733" s="6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</row>
    <row r="734" ht="12.75" customHeight="1">
      <c r="A734" s="2"/>
      <c r="B734" s="2"/>
      <c r="C734" s="3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5"/>
      <c r="P734" s="2"/>
      <c r="Q734" s="6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</row>
    <row r="735" ht="12.75" customHeight="1">
      <c r="A735" s="2"/>
      <c r="B735" s="2"/>
      <c r="C735" s="3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5"/>
      <c r="P735" s="2"/>
      <c r="Q735" s="6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</row>
    <row r="736" ht="12.75" customHeight="1">
      <c r="A736" s="2"/>
      <c r="B736" s="2"/>
      <c r="C736" s="3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5"/>
      <c r="P736" s="2"/>
      <c r="Q736" s="6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</row>
    <row r="737" ht="12.75" customHeight="1">
      <c r="A737" s="2"/>
      <c r="B737" s="2"/>
      <c r="C737" s="3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5"/>
      <c r="P737" s="2"/>
      <c r="Q737" s="6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</row>
    <row r="738" ht="12.75" customHeight="1">
      <c r="A738" s="2"/>
      <c r="B738" s="2"/>
      <c r="C738" s="3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5"/>
      <c r="P738" s="2"/>
      <c r="Q738" s="6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</row>
    <row r="739" ht="12.75" customHeight="1">
      <c r="A739" s="2"/>
      <c r="B739" s="2"/>
      <c r="C739" s="3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5"/>
      <c r="P739" s="2"/>
      <c r="Q739" s="6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</row>
    <row r="740" ht="12.75" customHeight="1">
      <c r="A740" s="2"/>
      <c r="B740" s="2"/>
      <c r="C740" s="3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5"/>
      <c r="P740" s="2"/>
      <c r="Q740" s="6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</row>
    <row r="741" ht="12.75" customHeight="1">
      <c r="A741" s="2"/>
      <c r="B741" s="2"/>
      <c r="C741" s="3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5"/>
      <c r="P741" s="2"/>
      <c r="Q741" s="6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</row>
    <row r="742" ht="12.75" customHeight="1">
      <c r="A742" s="2"/>
      <c r="B742" s="2"/>
      <c r="C742" s="3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5"/>
      <c r="P742" s="2"/>
      <c r="Q742" s="6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</row>
    <row r="743" ht="12.75" customHeight="1">
      <c r="A743" s="2"/>
      <c r="B743" s="2"/>
      <c r="C743" s="3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5"/>
      <c r="P743" s="2"/>
      <c r="Q743" s="6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</row>
    <row r="744" ht="12.75" customHeight="1">
      <c r="A744" s="2"/>
      <c r="B744" s="2"/>
      <c r="C744" s="3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5"/>
      <c r="P744" s="2"/>
      <c r="Q744" s="6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</row>
    <row r="745" ht="12.75" customHeight="1">
      <c r="A745" s="2"/>
      <c r="B745" s="2"/>
      <c r="C745" s="3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5"/>
      <c r="P745" s="2"/>
      <c r="Q745" s="6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</row>
    <row r="746" ht="12.75" customHeight="1">
      <c r="A746" s="2"/>
      <c r="B746" s="2"/>
      <c r="C746" s="3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5"/>
      <c r="P746" s="2"/>
      <c r="Q746" s="6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</row>
    <row r="747" ht="12.75" customHeight="1">
      <c r="A747" s="2"/>
      <c r="B747" s="2"/>
      <c r="C747" s="3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5"/>
      <c r="P747" s="2"/>
      <c r="Q747" s="6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</row>
    <row r="748" ht="12.75" customHeight="1">
      <c r="A748" s="2"/>
      <c r="B748" s="2"/>
      <c r="C748" s="3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5"/>
      <c r="P748" s="2"/>
      <c r="Q748" s="6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</row>
    <row r="749" ht="12.75" customHeight="1">
      <c r="A749" s="2"/>
      <c r="B749" s="2"/>
      <c r="C749" s="3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5"/>
      <c r="P749" s="2"/>
      <c r="Q749" s="6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</row>
    <row r="750" ht="12.75" customHeight="1">
      <c r="A750" s="2"/>
      <c r="B750" s="2"/>
      <c r="C750" s="3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5"/>
      <c r="P750" s="2"/>
      <c r="Q750" s="6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</row>
    <row r="751" ht="12.75" customHeight="1">
      <c r="A751" s="2"/>
      <c r="B751" s="2"/>
      <c r="C751" s="3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5"/>
      <c r="P751" s="2"/>
      <c r="Q751" s="6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</row>
    <row r="752" ht="12.75" customHeight="1">
      <c r="A752" s="2"/>
      <c r="B752" s="2"/>
      <c r="C752" s="3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5"/>
      <c r="P752" s="2"/>
      <c r="Q752" s="6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</row>
    <row r="753" ht="12.75" customHeight="1">
      <c r="A753" s="2"/>
      <c r="B753" s="2"/>
      <c r="C753" s="3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5"/>
      <c r="P753" s="2"/>
      <c r="Q753" s="6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</row>
    <row r="754" ht="12.75" customHeight="1">
      <c r="A754" s="2"/>
      <c r="B754" s="2"/>
      <c r="C754" s="3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5"/>
      <c r="P754" s="2"/>
      <c r="Q754" s="6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</row>
    <row r="755" ht="12.75" customHeight="1">
      <c r="A755" s="2"/>
      <c r="B755" s="2"/>
      <c r="C755" s="3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5"/>
      <c r="P755" s="2"/>
      <c r="Q755" s="6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</row>
    <row r="756" ht="12.75" customHeight="1">
      <c r="A756" s="2"/>
      <c r="B756" s="2"/>
      <c r="C756" s="3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5"/>
      <c r="P756" s="2"/>
      <c r="Q756" s="6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</row>
    <row r="757" ht="12.75" customHeight="1">
      <c r="A757" s="2"/>
      <c r="B757" s="2"/>
      <c r="C757" s="3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5"/>
      <c r="P757" s="2"/>
      <c r="Q757" s="6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</row>
    <row r="758" ht="12.75" customHeight="1">
      <c r="A758" s="2"/>
      <c r="B758" s="2"/>
      <c r="C758" s="3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5"/>
      <c r="P758" s="2"/>
      <c r="Q758" s="6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</row>
    <row r="759" ht="12.75" customHeight="1">
      <c r="A759" s="2"/>
      <c r="B759" s="2"/>
      <c r="C759" s="3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5"/>
      <c r="P759" s="2"/>
      <c r="Q759" s="6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</row>
    <row r="760" ht="12.75" customHeight="1">
      <c r="A760" s="2"/>
      <c r="B760" s="2"/>
      <c r="C760" s="3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5"/>
      <c r="P760" s="2"/>
      <c r="Q760" s="6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</row>
    <row r="761" ht="12.75" customHeight="1">
      <c r="A761" s="2"/>
      <c r="B761" s="2"/>
      <c r="C761" s="3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5"/>
      <c r="P761" s="2"/>
      <c r="Q761" s="6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</row>
    <row r="762" ht="12.75" customHeight="1">
      <c r="A762" s="2"/>
      <c r="B762" s="2"/>
      <c r="C762" s="3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5"/>
      <c r="P762" s="2"/>
      <c r="Q762" s="6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</row>
    <row r="763" ht="12.75" customHeight="1">
      <c r="A763" s="2"/>
      <c r="B763" s="2"/>
      <c r="C763" s="3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5"/>
      <c r="P763" s="2"/>
      <c r="Q763" s="6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</row>
    <row r="764" ht="12.75" customHeight="1">
      <c r="A764" s="2"/>
      <c r="B764" s="2"/>
      <c r="C764" s="3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5"/>
      <c r="P764" s="2"/>
      <c r="Q764" s="6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</row>
    <row r="765" ht="12.75" customHeight="1">
      <c r="A765" s="2"/>
      <c r="B765" s="2"/>
      <c r="C765" s="3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5"/>
      <c r="P765" s="2"/>
      <c r="Q765" s="6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</row>
    <row r="766" ht="12.75" customHeight="1">
      <c r="A766" s="2"/>
      <c r="B766" s="2"/>
      <c r="C766" s="3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5"/>
      <c r="P766" s="2"/>
      <c r="Q766" s="6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</row>
    <row r="767" ht="12.75" customHeight="1">
      <c r="A767" s="2"/>
      <c r="B767" s="2"/>
      <c r="C767" s="3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5"/>
      <c r="P767" s="2"/>
      <c r="Q767" s="6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</row>
    <row r="768" ht="12.75" customHeight="1">
      <c r="A768" s="2"/>
      <c r="B768" s="2"/>
      <c r="C768" s="3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5"/>
      <c r="P768" s="2"/>
      <c r="Q768" s="6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</row>
    <row r="769" ht="12.75" customHeight="1">
      <c r="A769" s="2"/>
      <c r="B769" s="2"/>
      <c r="C769" s="3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5"/>
      <c r="P769" s="2"/>
      <c r="Q769" s="6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</row>
    <row r="770" ht="12.75" customHeight="1">
      <c r="A770" s="2"/>
      <c r="B770" s="2"/>
      <c r="C770" s="3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5"/>
      <c r="P770" s="2"/>
      <c r="Q770" s="6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</row>
    <row r="771" ht="12.75" customHeight="1">
      <c r="A771" s="2"/>
      <c r="B771" s="2"/>
      <c r="C771" s="3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5"/>
      <c r="P771" s="2"/>
      <c r="Q771" s="6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</row>
    <row r="772" ht="12.75" customHeight="1">
      <c r="A772" s="2"/>
      <c r="B772" s="2"/>
      <c r="C772" s="3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5"/>
      <c r="P772" s="2"/>
      <c r="Q772" s="6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</row>
    <row r="773" ht="12.75" customHeight="1">
      <c r="A773" s="2"/>
      <c r="B773" s="2"/>
      <c r="C773" s="3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5"/>
      <c r="P773" s="2"/>
      <c r="Q773" s="6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</row>
    <row r="774" ht="12.75" customHeight="1">
      <c r="A774" s="2"/>
      <c r="B774" s="2"/>
      <c r="C774" s="3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5"/>
      <c r="P774" s="2"/>
      <c r="Q774" s="6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</row>
    <row r="775" ht="12.75" customHeight="1">
      <c r="A775" s="2"/>
      <c r="B775" s="2"/>
      <c r="C775" s="3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5"/>
      <c r="P775" s="2"/>
      <c r="Q775" s="6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</row>
    <row r="776" ht="12.75" customHeight="1">
      <c r="A776" s="2"/>
      <c r="B776" s="2"/>
      <c r="C776" s="3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5"/>
      <c r="P776" s="2"/>
      <c r="Q776" s="6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</row>
    <row r="777" ht="12.75" customHeight="1">
      <c r="A777" s="2"/>
      <c r="B777" s="2"/>
      <c r="C777" s="3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5"/>
      <c r="P777" s="2"/>
      <c r="Q777" s="6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</row>
    <row r="778" ht="12.75" customHeight="1">
      <c r="A778" s="2"/>
      <c r="B778" s="2"/>
      <c r="C778" s="3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5"/>
      <c r="P778" s="2"/>
      <c r="Q778" s="6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</row>
    <row r="779" ht="12.75" customHeight="1">
      <c r="A779" s="2"/>
      <c r="B779" s="2"/>
      <c r="C779" s="3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5"/>
      <c r="P779" s="2"/>
      <c r="Q779" s="6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</row>
    <row r="780" ht="12.75" customHeight="1">
      <c r="A780" s="2"/>
      <c r="B780" s="2"/>
      <c r="C780" s="3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5"/>
      <c r="P780" s="2"/>
      <c r="Q780" s="6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</row>
    <row r="781" ht="12.75" customHeight="1">
      <c r="A781" s="2"/>
      <c r="B781" s="2"/>
      <c r="C781" s="3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5"/>
      <c r="P781" s="2"/>
      <c r="Q781" s="6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</row>
    <row r="782" ht="12.75" customHeight="1">
      <c r="A782" s="2"/>
      <c r="B782" s="2"/>
      <c r="C782" s="3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5"/>
      <c r="P782" s="2"/>
      <c r="Q782" s="6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</row>
    <row r="783" ht="12.75" customHeight="1">
      <c r="A783" s="2"/>
      <c r="B783" s="2"/>
      <c r="C783" s="3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5"/>
      <c r="P783" s="2"/>
      <c r="Q783" s="6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</row>
    <row r="784" ht="12.75" customHeight="1">
      <c r="A784" s="2"/>
      <c r="B784" s="2"/>
      <c r="C784" s="3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5"/>
      <c r="P784" s="2"/>
      <c r="Q784" s="6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</row>
    <row r="785" ht="12.75" customHeight="1">
      <c r="A785" s="2"/>
      <c r="B785" s="2"/>
      <c r="C785" s="3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5"/>
      <c r="P785" s="2"/>
      <c r="Q785" s="6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</row>
    <row r="786" ht="12.75" customHeight="1">
      <c r="A786" s="2"/>
      <c r="B786" s="2"/>
      <c r="C786" s="3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5"/>
      <c r="P786" s="2"/>
      <c r="Q786" s="6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</row>
    <row r="787" ht="12.75" customHeight="1">
      <c r="A787" s="2"/>
      <c r="B787" s="2"/>
      <c r="C787" s="3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5"/>
      <c r="P787" s="2"/>
      <c r="Q787" s="6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</row>
    <row r="788" ht="12.75" customHeight="1">
      <c r="A788" s="2"/>
      <c r="B788" s="2"/>
      <c r="C788" s="3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5"/>
      <c r="P788" s="2"/>
      <c r="Q788" s="6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</row>
    <row r="789" ht="12.75" customHeight="1">
      <c r="A789" s="2"/>
      <c r="B789" s="2"/>
      <c r="C789" s="3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5"/>
      <c r="P789" s="2"/>
      <c r="Q789" s="6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</row>
    <row r="790" ht="12.75" customHeight="1">
      <c r="A790" s="2"/>
      <c r="B790" s="2"/>
      <c r="C790" s="3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5"/>
      <c r="P790" s="2"/>
      <c r="Q790" s="6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</row>
    <row r="791" ht="12.75" customHeight="1">
      <c r="A791" s="2"/>
      <c r="B791" s="2"/>
      <c r="C791" s="3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5"/>
      <c r="P791" s="2"/>
      <c r="Q791" s="6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</row>
    <row r="792" ht="12.75" customHeight="1">
      <c r="A792" s="2"/>
      <c r="B792" s="2"/>
      <c r="C792" s="3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5"/>
      <c r="P792" s="2"/>
      <c r="Q792" s="6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</row>
    <row r="793" ht="12.75" customHeight="1">
      <c r="A793" s="2"/>
      <c r="B793" s="2"/>
      <c r="C793" s="3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5"/>
      <c r="P793" s="2"/>
      <c r="Q793" s="6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</row>
    <row r="794" ht="12.75" customHeight="1">
      <c r="A794" s="2"/>
      <c r="B794" s="2"/>
      <c r="C794" s="3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5"/>
      <c r="P794" s="2"/>
      <c r="Q794" s="6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</row>
    <row r="795" ht="12.75" customHeight="1">
      <c r="A795" s="2"/>
      <c r="B795" s="2"/>
      <c r="C795" s="3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5"/>
      <c r="P795" s="2"/>
      <c r="Q795" s="6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</row>
    <row r="796" ht="12.75" customHeight="1">
      <c r="A796" s="2"/>
      <c r="B796" s="2"/>
      <c r="C796" s="3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5"/>
      <c r="P796" s="2"/>
      <c r="Q796" s="6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</row>
    <row r="797" ht="12.75" customHeight="1">
      <c r="A797" s="2"/>
      <c r="B797" s="2"/>
      <c r="C797" s="3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5"/>
      <c r="P797" s="2"/>
      <c r="Q797" s="6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</row>
    <row r="798" ht="12.75" customHeight="1">
      <c r="A798" s="2"/>
      <c r="B798" s="2"/>
      <c r="C798" s="3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5"/>
      <c r="P798" s="2"/>
      <c r="Q798" s="6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</row>
    <row r="799" ht="12.75" customHeight="1">
      <c r="A799" s="2"/>
      <c r="B799" s="2"/>
      <c r="C799" s="3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5"/>
      <c r="P799" s="2"/>
      <c r="Q799" s="6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</row>
    <row r="800" ht="12.75" customHeight="1">
      <c r="A800" s="2"/>
      <c r="B800" s="2"/>
      <c r="C800" s="3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5"/>
      <c r="P800" s="2"/>
      <c r="Q800" s="6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</row>
    <row r="801" ht="12.75" customHeight="1">
      <c r="A801" s="2"/>
      <c r="B801" s="2"/>
      <c r="C801" s="3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5"/>
      <c r="P801" s="2"/>
      <c r="Q801" s="6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</row>
    <row r="802" ht="12.75" customHeight="1">
      <c r="A802" s="2"/>
      <c r="B802" s="2"/>
      <c r="C802" s="3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5"/>
      <c r="P802" s="2"/>
      <c r="Q802" s="6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</row>
    <row r="803" ht="12.75" customHeight="1">
      <c r="A803" s="2"/>
      <c r="B803" s="2"/>
      <c r="C803" s="3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5"/>
      <c r="P803" s="2"/>
      <c r="Q803" s="6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</row>
    <row r="804" ht="12.75" customHeight="1">
      <c r="A804" s="2"/>
      <c r="B804" s="2"/>
      <c r="C804" s="3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5"/>
      <c r="P804" s="2"/>
      <c r="Q804" s="6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</row>
    <row r="805" ht="12.75" customHeight="1">
      <c r="A805" s="2"/>
      <c r="B805" s="2"/>
      <c r="C805" s="3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5"/>
      <c r="P805" s="2"/>
      <c r="Q805" s="6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</row>
    <row r="806" ht="12.75" customHeight="1">
      <c r="A806" s="2"/>
      <c r="B806" s="2"/>
      <c r="C806" s="3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5"/>
      <c r="P806" s="2"/>
      <c r="Q806" s="6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</row>
    <row r="807" ht="12.75" customHeight="1">
      <c r="A807" s="2"/>
      <c r="B807" s="2"/>
      <c r="C807" s="3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5"/>
      <c r="P807" s="2"/>
      <c r="Q807" s="6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</row>
    <row r="808" ht="12.75" customHeight="1">
      <c r="A808" s="2"/>
      <c r="B808" s="2"/>
      <c r="C808" s="3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5"/>
      <c r="P808" s="2"/>
      <c r="Q808" s="6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</row>
    <row r="809" ht="12.75" customHeight="1">
      <c r="A809" s="2"/>
      <c r="B809" s="2"/>
      <c r="C809" s="3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5"/>
      <c r="P809" s="2"/>
      <c r="Q809" s="6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</row>
    <row r="810" ht="12.75" customHeight="1">
      <c r="A810" s="2"/>
      <c r="B810" s="2"/>
      <c r="C810" s="3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5"/>
      <c r="P810" s="2"/>
      <c r="Q810" s="6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</row>
    <row r="811" ht="12.75" customHeight="1">
      <c r="A811" s="2"/>
      <c r="B811" s="2"/>
      <c r="C811" s="3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5"/>
      <c r="P811" s="2"/>
      <c r="Q811" s="6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</row>
    <row r="812" ht="12.75" customHeight="1">
      <c r="A812" s="2"/>
      <c r="B812" s="2"/>
      <c r="C812" s="3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5"/>
      <c r="P812" s="2"/>
      <c r="Q812" s="6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</row>
    <row r="813" ht="12.75" customHeight="1">
      <c r="A813" s="2"/>
      <c r="B813" s="2"/>
      <c r="C813" s="3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5"/>
      <c r="P813" s="2"/>
      <c r="Q813" s="6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</row>
    <row r="814" ht="12.75" customHeight="1">
      <c r="A814" s="2"/>
      <c r="B814" s="2"/>
      <c r="C814" s="3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5"/>
      <c r="P814" s="2"/>
      <c r="Q814" s="6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</row>
    <row r="815" ht="12.75" customHeight="1">
      <c r="A815" s="2"/>
      <c r="B815" s="2"/>
      <c r="C815" s="3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5"/>
      <c r="P815" s="2"/>
      <c r="Q815" s="6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</row>
    <row r="816" ht="12.75" customHeight="1">
      <c r="A816" s="2"/>
      <c r="B816" s="2"/>
      <c r="C816" s="3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5"/>
      <c r="P816" s="2"/>
      <c r="Q816" s="6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</row>
    <row r="817" ht="12.75" customHeight="1">
      <c r="A817" s="2"/>
      <c r="B817" s="2"/>
      <c r="C817" s="3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5"/>
      <c r="P817" s="2"/>
      <c r="Q817" s="6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</row>
    <row r="818" ht="12.75" customHeight="1">
      <c r="A818" s="2"/>
      <c r="B818" s="2"/>
      <c r="C818" s="3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5"/>
      <c r="P818" s="2"/>
      <c r="Q818" s="6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</row>
    <row r="819" ht="12.75" customHeight="1">
      <c r="A819" s="2"/>
      <c r="B819" s="2"/>
      <c r="C819" s="3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5"/>
      <c r="P819" s="2"/>
      <c r="Q819" s="6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</row>
    <row r="820" ht="12.75" customHeight="1">
      <c r="A820" s="2"/>
      <c r="B820" s="2"/>
      <c r="C820" s="3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5"/>
      <c r="P820" s="2"/>
      <c r="Q820" s="6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</row>
    <row r="821" ht="12.75" customHeight="1">
      <c r="A821" s="2"/>
      <c r="B821" s="2"/>
      <c r="C821" s="3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5"/>
      <c r="P821" s="2"/>
      <c r="Q821" s="6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</row>
    <row r="822" ht="12.75" customHeight="1">
      <c r="A822" s="2"/>
      <c r="B822" s="2"/>
      <c r="C822" s="3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5"/>
      <c r="P822" s="2"/>
      <c r="Q822" s="6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</row>
    <row r="823" ht="12.75" customHeight="1">
      <c r="A823" s="2"/>
      <c r="B823" s="2"/>
      <c r="C823" s="3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5"/>
      <c r="P823" s="2"/>
      <c r="Q823" s="6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</row>
    <row r="824" ht="12.75" customHeight="1">
      <c r="A824" s="2"/>
      <c r="B824" s="2"/>
      <c r="C824" s="3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5"/>
      <c r="P824" s="2"/>
      <c r="Q824" s="6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</row>
    <row r="825" ht="12.75" customHeight="1">
      <c r="A825" s="2"/>
      <c r="B825" s="2"/>
      <c r="C825" s="3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5"/>
      <c r="P825" s="2"/>
      <c r="Q825" s="6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</row>
    <row r="826" ht="12.75" customHeight="1">
      <c r="A826" s="2"/>
      <c r="B826" s="2"/>
      <c r="C826" s="3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5"/>
      <c r="P826" s="2"/>
      <c r="Q826" s="6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</row>
    <row r="827" ht="12.75" customHeight="1">
      <c r="A827" s="2"/>
      <c r="B827" s="2"/>
      <c r="C827" s="3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5"/>
      <c r="P827" s="2"/>
      <c r="Q827" s="6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</row>
    <row r="828" ht="12.75" customHeight="1">
      <c r="A828" s="2"/>
      <c r="B828" s="2"/>
      <c r="C828" s="3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5"/>
      <c r="P828" s="2"/>
      <c r="Q828" s="6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</row>
    <row r="829" ht="12.75" customHeight="1">
      <c r="A829" s="2"/>
      <c r="B829" s="2"/>
      <c r="C829" s="3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5"/>
      <c r="P829" s="2"/>
      <c r="Q829" s="6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</row>
    <row r="830" ht="12.75" customHeight="1">
      <c r="A830" s="2"/>
      <c r="B830" s="2"/>
      <c r="C830" s="3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5"/>
      <c r="P830" s="2"/>
      <c r="Q830" s="6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</row>
    <row r="831" ht="12.75" customHeight="1">
      <c r="A831" s="2"/>
      <c r="B831" s="2"/>
      <c r="C831" s="3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5"/>
      <c r="P831" s="2"/>
      <c r="Q831" s="6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</row>
    <row r="832" ht="12.75" customHeight="1">
      <c r="A832" s="2"/>
      <c r="B832" s="2"/>
      <c r="C832" s="3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5"/>
      <c r="P832" s="2"/>
      <c r="Q832" s="6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</row>
    <row r="833" ht="12.75" customHeight="1">
      <c r="A833" s="2"/>
      <c r="B833" s="2"/>
      <c r="C833" s="3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5"/>
      <c r="P833" s="2"/>
      <c r="Q833" s="6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</row>
    <row r="834" ht="12.75" customHeight="1">
      <c r="A834" s="2"/>
      <c r="B834" s="2"/>
      <c r="C834" s="3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5"/>
      <c r="P834" s="2"/>
      <c r="Q834" s="6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</row>
    <row r="835" ht="12.75" customHeight="1">
      <c r="A835" s="2"/>
      <c r="B835" s="2"/>
      <c r="C835" s="3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5"/>
      <c r="P835" s="2"/>
      <c r="Q835" s="6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</row>
    <row r="836" ht="12.75" customHeight="1">
      <c r="A836" s="2"/>
      <c r="B836" s="2"/>
      <c r="C836" s="3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5"/>
      <c r="P836" s="2"/>
      <c r="Q836" s="6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</row>
    <row r="837" ht="12.75" customHeight="1">
      <c r="A837" s="2"/>
      <c r="B837" s="2"/>
      <c r="C837" s="3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5"/>
      <c r="P837" s="2"/>
      <c r="Q837" s="6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</row>
    <row r="838" ht="12.75" customHeight="1">
      <c r="A838" s="2"/>
      <c r="B838" s="2"/>
      <c r="C838" s="3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5"/>
      <c r="P838" s="2"/>
      <c r="Q838" s="6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</row>
    <row r="839" ht="12.75" customHeight="1">
      <c r="A839" s="2"/>
      <c r="B839" s="2"/>
      <c r="C839" s="3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5"/>
      <c r="P839" s="2"/>
      <c r="Q839" s="6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</row>
    <row r="840" ht="12.75" customHeight="1">
      <c r="A840" s="2"/>
      <c r="B840" s="2"/>
      <c r="C840" s="3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5"/>
      <c r="P840" s="2"/>
      <c r="Q840" s="6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</row>
    <row r="841" ht="12.75" customHeight="1">
      <c r="A841" s="2"/>
      <c r="B841" s="2"/>
      <c r="C841" s="3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5"/>
      <c r="P841" s="2"/>
      <c r="Q841" s="6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</row>
    <row r="842" ht="12.75" customHeight="1">
      <c r="A842" s="2"/>
      <c r="B842" s="2"/>
      <c r="C842" s="3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5"/>
      <c r="P842" s="2"/>
      <c r="Q842" s="6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</row>
    <row r="843" ht="12.75" customHeight="1">
      <c r="A843" s="2"/>
      <c r="B843" s="2"/>
      <c r="C843" s="3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5"/>
      <c r="P843" s="2"/>
      <c r="Q843" s="6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</row>
    <row r="844" ht="12.75" customHeight="1">
      <c r="A844" s="2"/>
      <c r="B844" s="2"/>
      <c r="C844" s="3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5"/>
      <c r="P844" s="2"/>
      <c r="Q844" s="6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</row>
    <row r="845" ht="12.75" customHeight="1">
      <c r="A845" s="2"/>
      <c r="B845" s="2"/>
      <c r="C845" s="3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5"/>
      <c r="P845" s="2"/>
      <c r="Q845" s="6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</row>
    <row r="846" ht="12.75" customHeight="1">
      <c r="A846" s="2"/>
      <c r="B846" s="2"/>
      <c r="C846" s="3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5"/>
      <c r="P846" s="2"/>
      <c r="Q846" s="6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</row>
    <row r="847" ht="12.75" customHeight="1">
      <c r="A847" s="2"/>
      <c r="B847" s="2"/>
      <c r="C847" s="3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5"/>
      <c r="P847" s="2"/>
      <c r="Q847" s="6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</row>
    <row r="848" ht="12.75" customHeight="1">
      <c r="A848" s="2"/>
      <c r="B848" s="2"/>
      <c r="C848" s="3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5"/>
      <c r="P848" s="2"/>
      <c r="Q848" s="6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</row>
    <row r="849" ht="12.75" customHeight="1">
      <c r="A849" s="2"/>
      <c r="B849" s="2"/>
      <c r="C849" s="3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5"/>
      <c r="P849" s="2"/>
      <c r="Q849" s="6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</row>
    <row r="850" ht="12.75" customHeight="1">
      <c r="A850" s="2"/>
      <c r="B850" s="2"/>
      <c r="C850" s="3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5"/>
      <c r="P850" s="2"/>
      <c r="Q850" s="6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</row>
    <row r="851" ht="12.75" customHeight="1">
      <c r="A851" s="2"/>
      <c r="B851" s="2"/>
      <c r="C851" s="3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5"/>
      <c r="P851" s="2"/>
      <c r="Q851" s="6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</row>
    <row r="852" ht="12.75" customHeight="1">
      <c r="A852" s="2"/>
      <c r="B852" s="2"/>
      <c r="C852" s="3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5"/>
      <c r="P852" s="2"/>
      <c r="Q852" s="6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</row>
    <row r="853" ht="12.75" customHeight="1">
      <c r="A853" s="2"/>
      <c r="B853" s="2"/>
      <c r="C853" s="3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5"/>
      <c r="P853" s="2"/>
      <c r="Q853" s="6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</row>
    <row r="854" ht="12.75" customHeight="1">
      <c r="A854" s="2"/>
      <c r="B854" s="2"/>
      <c r="C854" s="3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5"/>
      <c r="P854" s="2"/>
      <c r="Q854" s="6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</row>
    <row r="855" ht="12.75" customHeight="1">
      <c r="A855" s="2"/>
      <c r="B855" s="2"/>
      <c r="C855" s="3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5"/>
      <c r="P855" s="2"/>
      <c r="Q855" s="6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</row>
    <row r="856" ht="12.75" customHeight="1">
      <c r="A856" s="2"/>
      <c r="B856" s="2"/>
      <c r="C856" s="3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5"/>
      <c r="P856" s="2"/>
      <c r="Q856" s="6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</row>
    <row r="857" ht="12.75" customHeight="1">
      <c r="A857" s="2"/>
      <c r="B857" s="2"/>
      <c r="C857" s="3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5"/>
      <c r="P857" s="2"/>
      <c r="Q857" s="6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</row>
    <row r="858" ht="12.75" customHeight="1">
      <c r="A858" s="2"/>
      <c r="B858" s="2"/>
      <c r="C858" s="3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5"/>
      <c r="P858" s="2"/>
      <c r="Q858" s="6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</row>
    <row r="859" ht="12.75" customHeight="1">
      <c r="A859" s="2"/>
      <c r="B859" s="2"/>
      <c r="C859" s="3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5"/>
      <c r="P859" s="2"/>
      <c r="Q859" s="6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</row>
    <row r="860" ht="12.75" customHeight="1">
      <c r="A860" s="2"/>
      <c r="B860" s="2"/>
      <c r="C860" s="3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5"/>
      <c r="P860" s="2"/>
      <c r="Q860" s="6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</row>
    <row r="861" ht="12.75" customHeight="1">
      <c r="A861" s="2"/>
      <c r="B861" s="2"/>
      <c r="C861" s="3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5"/>
      <c r="P861" s="2"/>
      <c r="Q861" s="6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</row>
    <row r="862" ht="12.75" customHeight="1">
      <c r="A862" s="2"/>
      <c r="B862" s="2"/>
      <c r="C862" s="3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5"/>
      <c r="P862" s="2"/>
      <c r="Q862" s="6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</row>
    <row r="863" ht="12.75" customHeight="1">
      <c r="A863" s="2"/>
      <c r="B863" s="2"/>
      <c r="C863" s="3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5"/>
      <c r="P863" s="2"/>
      <c r="Q863" s="6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</row>
    <row r="864" ht="12.75" customHeight="1">
      <c r="A864" s="2"/>
      <c r="B864" s="2"/>
      <c r="C864" s="3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5"/>
      <c r="P864" s="2"/>
      <c r="Q864" s="6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</row>
    <row r="865" ht="12.75" customHeight="1">
      <c r="A865" s="2"/>
      <c r="B865" s="2"/>
      <c r="C865" s="3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5"/>
      <c r="P865" s="2"/>
      <c r="Q865" s="6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</row>
    <row r="866" ht="12.75" customHeight="1">
      <c r="A866" s="2"/>
      <c r="B866" s="2"/>
      <c r="C866" s="3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5"/>
      <c r="P866" s="2"/>
      <c r="Q866" s="6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</row>
    <row r="867" ht="12.75" customHeight="1">
      <c r="A867" s="2"/>
      <c r="B867" s="2"/>
      <c r="C867" s="3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5"/>
      <c r="P867" s="2"/>
      <c r="Q867" s="6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</row>
    <row r="868" ht="12.75" customHeight="1">
      <c r="A868" s="2"/>
      <c r="B868" s="2"/>
      <c r="C868" s="3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5"/>
      <c r="P868" s="2"/>
      <c r="Q868" s="6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</row>
    <row r="869" ht="12.75" customHeight="1">
      <c r="A869" s="2"/>
      <c r="B869" s="2"/>
      <c r="C869" s="3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5"/>
      <c r="P869" s="2"/>
      <c r="Q869" s="6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</row>
    <row r="870" ht="12.75" customHeight="1">
      <c r="A870" s="2"/>
      <c r="B870" s="2"/>
      <c r="C870" s="3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5"/>
      <c r="P870" s="2"/>
      <c r="Q870" s="6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</row>
    <row r="871" ht="12.75" customHeight="1">
      <c r="A871" s="2"/>
      <c r="B871" s="2"/>
      <c r="C871" s="3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5"/>
      <c r="P871" s="2"/>
      <c r="Q871" s="6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</row>
    <row r="872" ht="12.75" customHeight="1">
      <c r="A872" s="2"/>
      <c r="B872" s="2"/>
      <c r="C872" s="3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5"/>
      <c r="P872" s="2"/>
      <c r="Q872" s="6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</row>
    <row r="873" ht="12.75" customHeight="1">
      <c r="A873" s="2"/>
      <c r="B873" s="2"/>
      <c r="C873" s="3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5"/>
      <c r="P873" s="2"/>
      <c r="Q873" s="6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</row>
    <row r="874" ht="12.75" customHeight="1">
      <c r="A874" s="2"/>
      <c r="B874" s="2"/>
      <c r="C874" s="3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5"/>
      <c r="P874" s="2"/>
      <c r="Q874" s="6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</row>
    <row r="875" ht="12.75" customHeight="1">
      <c r="A875" s="2"/>
      <c r="B875" s="2"/>
      <c r="C875" s="3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5"/>
      <c r="P875" s="2"/>
      <c r="Q875" s="6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</row>
    <row r="876" ht="12.75" customHeight="1">
      <c r="A876" s="2"/>
      <c r="B876" s="2"/>
      <c r="C876" s="3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5"/>
      <c r="P876" s="2"/>
      <c r="Q876" s="6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</row>
    <row r="877" ht="12.75" customHeight="1">
      <c r="A877" s="2"/>
      <c r="B877" s="2"/>
      <c r="C877" s="3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5"/>
      <c r="P877" s="2"/>
      <c r="Q877" s="6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</row>
    <row r="878" ht="12.75" customHeight="1">
      <c r="A878" s="2"/>
      <c r="B878" s="2"/>
      <c r="C878" s="3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5"/>
      <c r="P878" s="2"/>
      <c r="Q878" s="6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</row>
    <row r="879" ht="12.75" customHeight="1">
      <c r="A879" s="2"/>
      <c r="B879" s="2"/>
      <c r="C879" s="3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5"/>
      <c r="P879" s="2"/>
      <c r="Q879" s="6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</row>
    <row r="880" ht="12.75" customHeight="1">
      <c r="A880" s="2"/>
      <c r="B880" s="2"/>
      <c r="C880" s="3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5"/>
      <c r="P880" s="2"/>
      <c r="Q880" s="6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</row>
    <row r="881" ht="12.75" customHeight="1">
      <c r="A881" s="2"/>
      <c r="B881" s="2"/>
      <c r="C881" s="3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5"/>
      <c r="P881" s="2"/>
      <c r="Q881" s="6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</row>
    <row r="882" ht="12.75" customHeight="1">
      <c r="A882" s="2"/>
      <c r="B882" s="2"/>
      <c r="C882" s="3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5"/>
      <c r="P882" s="2"/>
      <c r="Q882" s="6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</row>
    <row r="883" ht="12.75" customHeight="1">
      <c r="A883" s="2"/>
      <c r="B883" s="2"/>
      <c r="C883" s="3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5"/>
      <c r="P883" s="2"/>
      <c r="Q883" s="6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</row>
    <row r="884" ht="12.75" customHeight="1">
      <c r="A884" s="2"/>
      <c r="B884" s="2"/>
      <c r="C884" s="3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5"/>
      <c r="P884" s="2"/>
      <c r="Q884" s="6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</row>
    <row r="885" ht="12.75" customHeight="1">
      <c r="A885" s="2"/>
      <c r="B885" s="2"/>
      <c r="C885" s="3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5"/>
      <c r="P885" s="2"/>
      <c r="Q885" s="6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</row>
    <row r="886" ht="12.75" customHeight="1">
      <c r="A886" s="2"/>
      <c r="B886" s="2"/>
      <c r="C886" s="3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5"/>
      <c r="P886" s="2"/>
      <c r="Q886" s="6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</row>
    <row r="887" ht="12.75" customHeight="1">
      <c r="A887" s="2"/>
      <c r="B887" s="2"/>
      <c r="C887" s="3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5"/>
      <c r="P887" s="2"/>
      <c r="Q887" s="6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</row>
    <row r="888" ht="12.75" customHeight="1">
      <c r="A888" s="2"/>
      <c r="B888" s="2"/>
      <c r="C888" s="3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5"/>
      <c r="P888" s="2"/>
      <c r="Q888" s="6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</row>
    <row r="889" ht="12.75" customHeight="1">
      <c r="A889" s="2"/>
      <c r="B889" s="2"/>
      <c r="C889" s="3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5"/>
      <c r="P889" s="2"/>
      <c r="Q889" s="6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</row>
    <row r="890" ht="12.75" customHeight="1">
      <c r="A890" s="2"/>
      <c r="B890" s="2"/>
      <c r="C890" s="3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5"/>
      <c r="P890" s="2"/>
      <c r="Q890" s="6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</row>
    <row r="891" ht="12.75" customHeight="1">
      <c r="A891" s="2"/>
      <c r="B891" s="2"/>
      <c r="C891" s="3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5"/>
      <c r="P891" s="2"/>
      <c r="Q891" s="6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</row>
    <row r="892" ht="12.75" customHeight="1">
      <c r="A892" s="2"/>
      <c r="B892" s="2"/>
      <c r="C892" s="3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5"/>
      <c r="P892" s="2"/>
      <c r="Q892" s="6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</row>
    <row r="893" ht="12.75" customHeight="1">
      <c r="A893" s="2"/>
      <c r="B893" s="2"/>
      <c r="C893" s="3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5"/>
      <c r="P893" s="2"/>
      <c r="Q893" s="6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</row>
    <row r="894" ht="12.75" customHeight="1">
      <c r="A894" s="2"/>
      <c r="B894" s="2"/>
      <c r="C894" s="3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5"/>
      <c r="P894" s="2"/>
      <c r="Q894" s="6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</row>
    <row r="895" ht="12.75" customHeight="1">
      <c r="A895" s="2"/>
      <c r="B895" s="2"/>
      <c r="C895" s="3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5"/>
      <c r="P895" s="2"/>
      <c r="Q895" s="6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</row>
    <row r="896" ht="12.75" customHeight="1">
      <c r="A896" s="2"/>
      <c r="B896" s="2"/>
      <c r="C896" s="3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5"/>
      <c r="P896" s="2"/>
      <c r="Q896" s="6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</row>
    <row r="897" ht="12.75" customHeight="1">
      <c r="A897" s="2"/>
      <c r="B897" s="2"/>
      <c r="C897" s="3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5"/>
      <c r="P897" s="2"/>
      <c r="Q897" s="6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</row>
    <row r="898" ht="12.75" customHeight="1">
      <c r="A898" s="2"/>
      <c r="B898" s="2"/>
      <c r="C898" s="3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5"/>
      <c r="P898" s="2"/>
      <c r="Q898" s="6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</row>
    <row r="899" ht="12.75" customHeight="1">
      <c r="A899" s="2"/>
      <c r="B899" s="2"/>
      <c r="C899" s="3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5"/>
      <c r="P899" s="2"/>
      <c r="Q899" s="6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</row>
    <row r="900" ht="12.75" customHeight="1">
      <c r="A900" s="2"/>
      <c r="B900" s="2"/>
      <c r="C900" s="3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5"/>
      <c r="P900" s="2"/>
      <c r="Q900" s="6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</row>
    <row r="901" ht="12.75" customHeight="1">
      <c r="A901" s="2"/>
      <c r="B901" s="2"/>
      <c r="C901" s="3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5"/>
      <c r="P901" s="2"/>
      <c r="Q901" s="6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</row>
    <row r="902" ht="12.75" customHeight="1">
      <c r="A902" s="2"/>
      <c r="B902" s="2"/>
      <c r="C902" s="3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5"/>
      <c r="P902" s="2"/>
      <c r="Q902" s="6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</row>
    <row r="903" ht="12.75" customHeight="1">
      <c r="A903" s="2"/>
      <c r="B903" s="2"/>
      <c r="C903" s="3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5"/>
      <c r="P903" s="2"/>
      <c r="Q903" s="6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</row>
    <row r="904" ht="12.75" customHeight="1">
      <c r="A904" s="2"/>
      <c r="B904" s="2"/>
      <c r="C904" s="3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5"/>
      <c r="P904" s="2"/>
      <c r="Q904" s="6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</row>
    <row r="905" ht="12.75" customHeight="1">
      <c r="A905" s="2"/>
      <c r="B905" s="2"/>
      <c r="C905" s="3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5"/>
      <c r="P905" s="2"/>
      <c r="Q905" s="6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</row>
    <row r="906" ht="12.75" customHeight="1">
      <c r="A906" s="2"/>
      <c r="B906" s="2"/>
      <c r="C906" s="3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5"/>
      <c r="P906" s="2"/>
      <c r="Q906" s="6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</row>
    <row r="907" ht="12.75" customHeight="1">
      <c r="A907" s="2"/>
      <c r="B907" s="2"/>
      <c r="C907" s="3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5"/>
      <c r="P907" s="2"/>
      <c r="Q907" s="6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</row>
    <row r="908" ht="12.75" customHeight="1">
      <c r="A908" s="2"/>
      <c r="B908" s="2"/>
      <c r="C908" s="3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5"/>
      <c r="P908" s="2"/>
      <c r="Q908" s="6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</row>
    <row r="909" ht="12.75" customHeight="1">
      <c r="A909" s="2"/>
      <c r="B909" s="2"/>
      <c r="C909" s="3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5"/>
      <c r="P909" s="2"/>
      <c r="Q909" s="6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</row>
    <row r="910" ht="12.75" customHeight="1">
      <c r="A910" s="2"/>
      <c r="B910" s="2"/>
      <c r="C910" s="3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5"/>
      <c r="P910" s="2"/>
      <c r="Q910" s="6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</row>
    <row r="911" ht="12.75" customHeight="1">
      <c r="A911" s="2"/>
      <c r="B911" s="2"/>
      <c r="C911" s="3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5"/>
      <c r="P911" s="2"/>
      <c r="Q911" s="6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</row>
    <row r="912" ht="12.75" customHeight="1">
      <c r="A912" s="2"/>
      <c r="B912" s="2"/>
      <c r="C912" s="3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5"/>
      <c r="P912" s="2"/>
      <c r="Q912" s="6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</row>
    <row r="913" ht="12.75" customHeight="1">
      <c r="A913" s="2"/>
      <c r="B913" s="2"/>
      <c r="C913" s="3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5"/>
      <c r="P913" s="2"/>
      <c r="Q913" s="6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</row>
    <row r="914" ht="12.75" customHeight="1">
      <c r="A914" s="2"/>
      <c r="B914" s="2"/>
      <c r="C914" s="3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5"/>
      <c r="P914" s="2"/>
      <c r="Q914" s="6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</row>
    <row r="915" ht="12.75" customHeight="1">
      <c r="A915" s="2"/>
      <c r="B915" s="2"/>
      <c r="C915" s="3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5"/>
      <c r="P915" s="2"/>
      <c r="Q915" s="6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</row>
    <row r="916" ht="12.75" customHeight="1">
      <c r="A916" s="2"/>
      <c r="B916" s="2"/>
      <c r="C916" s="3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5"/>
      <c r="P916" s="2"/>
      <c r="Q916" s="6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</row>
    <row r="917" ht="12.75" customHeight="1">
      <c r="A917" s="2"/>
      <c r="B917" s="2"/>
      <c r="C917" s="3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5"/>
      <c r="P917" s="2"/>
      <c r="Q917" s="6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</row>
    <row r="918" ht="12.75" customHeight="1">
      <c r="A918" s="2"/>
      <c r="B918" s="2"/>
      <c r="C918" s="3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5"/>
      <c r="P918" s="2"/>
      <c r="Q918" s="6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</row>
    <row r="919" ht="12.75" customHeight="1">
      <c r="A919" s="2"/>
      <c r="B919" s="2"/>
      <c r="C919" s="3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5"/>
      <c r="P919" s="2"/>
      <c r="Q919" s="6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</row>
    <row r="920" ht="12.75" customHeight="1">
      <c r="A920" s="2"/>
      <c r="B920" s="2"/>
      <c r="C920" s="3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5"/>
      <c r="P920" s="2"/>
      <c r="Q920" s="6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</row>
    <row r="921" ht="12.75" customHeight="1">
      <c r="A921" s="2"/>
      <c r="B921" s="2"/>
      <c r="C921" s="3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5"/>
      <c r="P921" s="2"/>
      <c r="Q921" s="6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</row>
    <row r="922" ht="12.75" customHeight="1">
      <c r="A922" s="2"/>
      <c r="B922" s="2"/>
      <c r="C922" s="3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5"/>
      <c r="P922" s="2"/>
      <c r="Q922" s="6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</row>
    <row r="923" ht="12.75" customHeight="1">
      <c r="A923" s="2"/>
      <c r="B923" s="2"/>
      <c r="C923" s="3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5"/>
      <c r="P923" s="2"/>
      <c r="Q923" s="6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</row>
    <row r="924" ht="12.75" customHeight="1">
      <c r="A924" s="2"/>
      <c r="B924" s="2"/>
      <c r="C924" s="3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5"/>
      <c r="P924" s="2"/>
      <c r="Q924" s="6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</row>
    <row r="925" ht="12.75" customHeight="1">
      <c r="A925" s="2"/>
      <c r="B925" s="2"/>
      <c r="C925" s="3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5"/>
      <c r="P925" s="2"/>
      <c r="Q925" s="6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</row>
    <row r="926" ht="12.75" customHeight="1">
      <c r="A926" s="2"/>
      <c r="B926" s="2"/>
      <c r="C926" s="3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5"/>
      <c r="P926" s="2"/>
      <c r="Q926" s="6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</row>
    <row r="927" ht="12.75" customHeight="1">
      <c r="A927" s="2"/>
      <c r="B927" s="2"/>
      <c r="C927" s="3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5"/>
      <c r="P927" s="2"/>
      <c r="Q927" s="6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</row>
    <row r="928" ht="12.75" customHeight="1">
      <c r="A928" s="2"/>
      <c r="B928" s="2"/>
      <c r="C928" s="3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5"/>
      <c r="P928" s="2"/>
      <c r="Q928" s="6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</row>
    <row r="929" ht="12.75" customHeight="1">
      <c r="A929" s="2"/>
      <c r="B929" s="2"/>
      <c r="C929" s="3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5"/>
      <c r="P929" s="2"/>
      <c r="Q929" s="6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</row>
    <row r="930" ht="12.75" customHeight="1">
      <c r="A930" s="2"/>
      <c r="B930" s="2"/>
      <c r="C930" s="3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5"/>
      <c r="P930" s="2"/>
      <c r="Q930" s="6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</row>
    <row r="931" ht="12.75" customHeight="1">
      <c r="A931" s="2"/>
      <c r="B931" s="2"/>
      <c r="C931" s="3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5"/>
      <c r="P931" s="2"/>
      <c r="Q931" s="6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</row>
    <row r="932" ht="12.75" customHeight="1">
      <c r="A932" s="2"/>
      <c r="B932" s="2"/>
      <c r="C932" s="3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5"/>
      <c r="P932" s="2"/>
      <c r="Q932" s="6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</row>
    <row r="933" ht="12.75" customHeight="1">
      <c r="A933" s="2"/>
      <c r="B933" s="2"/>
      <c r="C933" s="3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5"/>
      <c r="P933" s="2"/>
      <c r="Q933" s="6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</row>
    <row r="934" ht="12.75" customHeight="1">
      <c r="A934" s="2"/>
      <c r="B934" s="2"/>
      <c r="C934" s="3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5"/>
      <c r="P934" s="2"/>
      <c r="Q934" s="6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</row>
    <row r="935" ht="12.75" customHeight="1">
      <c r="A935" s="2"/>
      <c r="B935" s="2"/>
      <c r="C935" s="3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5"/>
      <c r="P935" s="2"/>
      <c r="Q935" s="6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</row>
    <row r="936" ht="12.75" customHeight="1">
      <c r="A936" s="2"/>
      <c r="B936" s="2"/>
      <c r="C936" s="3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5"/>
      <c r="P936" s="2"/>
      <c r="Q936" s="6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</row>
    <row r="937" ht="12.75" customHeight="1">
      <c r="A937" s="2"/>
      <c r="B937" s="2"/>
      <c r="C937" s="3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5"/>
      <c r="P937" s="2"/>
      <c r="Q937" s="6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</row>
    <row r="938" ht="12.75" customHeight="1">
      <c r="A938" s="2"/>
      <c r="B938" s="2"/>
      <c r="C938" s="3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5"/>
      <c r="P938" s="2"/>
      <c r="Q938" s="6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</row>
    <row r="939" ht="12.75" customHeight="1">
      <c r="A939" s="2"/>
      <c r="B939" s="2"/>
      <c r="C939" s="3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5"/>
      <c r="P939" s="2"/>
      <c r="Q939" s="6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</row>
    <row r="940" ht="12.75" customHeight="1">
      <c r="A940" s="2"/>
      <c r="B940" s="2"/>
      <c r="C940" s="3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5"/>
      <c r="P940" s="2"/>
      <c r="Q940" s="6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</row>
    <row r="941" ht="12.75" customHeight="1">
      <c r="A941" s="2"/>
      <c r="B941" s="2"/>
      <c r="C941" s="3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5"/>
      <c r="P941" s="2"/>
      <c r="Q941" s="6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</row>
    <row r="942" ht="12.75" customHeight="1">
      <c r="A942" s="2"/>
      <c r="B942" s="2"/>
      <c r="C942" s="3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5"/>
      <c r="P942" s="2"/>
      <c r="Q942" s="6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</row>
    <row r="943" ht="12.75" customHeight="1">
      <c r="A943" s="2"/>
      <c r="B943" s="2"/>
      <c r="C943" s="3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5"/>
      <c r="P943" s="2"/>
      <c r="Q943" s="6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</row>
    <row r="944" ht="12.75" customHeight="1">
      <c r="A944" s="2"/>
      <c r="B944" s="2"/>
      <c r="C944" s="3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5"/>
      <c r="P944" s="2"/>
      <c r="Q944" s="6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</row>
    <row r="945" ht="12.75" customHeight="1">
      <c r="A945" s="2"/>
      <c r="B945" s="2"/>
      <c r="C945" s="3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5"/>
      <c r="P945" s="2"/>
      <c r="Q945" s="6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</row>
    <row r="946" ht="12.75" customHeight="1">
      <c r="A946" s="2"/>
      <c r="B946" s="2"/>
      <c r="C946" s="3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5"/>
      <c r="P946" s="2"/>
      <c r="Q946" s="6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</row>
    <row r="947" ht="12.75" customHeight="1">
      <c r="A947" s="2"/>
      <c r="B947" s="2"/>
      <c r="C947" s="3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5"/>
      <c r="P947" s="2"/>
      <c r="Q947" s="6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</row>
    <row r="948" ht="12.75" customHeight="1">
      <c r="A948" s="2"/>
      <c r="B948" s="2"/>
      <c r="C948" s="3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5"/>
      <c r="P948" s="2"/>
      <c r="Q948" s="6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</row>
    <row r="949" ht="12.75" customHeight="1">
      <c r="A949" s="2"/>
      <c r="B949" s="2"/>
      <c r="C949" s="3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5"/>
      <c r="P949" s="2"/>
      <c r="Q949" s="6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</row>
    <row r="950" ht="12.75" customHeight="1">
      <c r="A950" s="2"/>
      <c r="B950" s="2"/>
      <c r="C950" s="3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5"/>
      <c r="P950" s="2"/>
      <c r="Q950" s="6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</row>
    <row r="951" ht="12.75" customHeight="1">
      <c r="A951" s="2"/>
      <c r="B951" s="2"/>
      <c r="C951" s="3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5"/>
      <c r="P951" s="2"/>
      <c r="Q951" s="6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</row>
    <row r="952" ht="12.75" customHeight="1">
      <c r="A952" s="2"/>
      <c r="B952" s="2"/>
      <c r="C952" s="3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5"/>
      <c r="P952" s="2"/>
      <c r="Q952" s="6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</row>
    <row r="953" ht="12.75" customHeight="1">
      <c r="A953" s="2"/>
      <c r="B953" s="2"/>
      <c r="C953" s="3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5"/>
      <c r="P953" s="2"/>
      <c r="Q953" s="6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</row>
    <row r="954" ht="12.75" customHeight="1">
      <c r="A954" s="2"/>
      <c r="B954" s="2"/>
      <c r="C954" s="3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5"/>
      <c r="P954" s="2"/>
      <c r="Q954" s="6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</row>
    <row r="955" ht="12.75" customHeight="1">
      <c r="A955" s="2"/>
      <c r="B955" s="2"/>
      <c r="C955" s="3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5"/>
      <c r="P955" s="2"/>
      <c r="Q955" s="6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</row>
    <row r="956" ht="12.75" customHeight="1">
      <c r="A956" s="2"/>
      <c r="B956" s="2"/>
      <c r="C956" s="3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5"/>
      <c r="P956" s="2"/>
      <c r="Q956" s="6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</row>
    <row r="957" ht="12.75" customHeight="1">
      <c r="A957" s="2"/>
      <c r="B957" s="2"/>
      <c r="C957" s="3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5"/>
      <c r="P957" s="2"/>
      <c r="Q957" s="6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</row>
    <row r="958" ht="12.75" customHeight="1">
      <c r="A958" s="2"/>
      <c r="B958" s="2"/>
      <c r="C958" s="3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5"/>
      <c r="P958" s="2"/>
      <c r="Q958" s="6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</row>
    <row r="959" ht="12.75" customHeight="1">
      <c r="A959" s="2"/>
      <c r="B959" s="2"/>
      <c r="C959" s="3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5"/>
      <c r="P959" s="2"/>
      <c r="Q959" s="6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</row>
    <row r="960" ht="12.75" customHeight="1">
      <c r="A960" s="2"/>
      <c r="B960" s="2"/>
      <c r="C960" s="3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5"/>
      <c r="P960" s="2"/>
      <c r="Q960" s="6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</row>
    <row r="961" ht="12.75" customHeight="1">
      <c r="A961" s="2"/>
      <c r="B961" s="2"/>
      <c r="C961" s="3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5"/>
      <c r="P961" s="2"/>
      <c r="Q961" s="6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</row>
    <row r="962" ht="12.75" customHeight="1">
      <c r="A962" s="2"/>
      <c r="B962" s="2"/>
      <c r="C962" s="3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5"/>
      <c r="P962" s="2"/>
      <c r="Q962" s="6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</row>
    <row r="963" ht="12.75" customHeight="1">
      <c r="A963" s="2"/>
      <c r="B963" s="2"/>
      <c r="C963" s="3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5"/>
      <c r="P963" s="2"/>
      <c r="Q963" s="6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</row>
    <row r="964" ht="12.75" customHeight="1">
      <c r="A964" s="2"/>
      <c r="B964" s="2"/>
      <c r="C964" s="3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5"/>
      <c r="P964" s="2"/>
      <c r="Q964" s="6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</row>
    <row r="965" ht="12.75" customHeight="1">
      <c r="A965" s="2"/>
      <c r="B965" s="2"/>
      <c r="C965" s="3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5"/>
      <c r="P965" s="2"/>
      <c r="Q965" s="6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</row>
    <row r="966" ht="12.75" customHeight="1">
      <c r="A966" s="2"/>
      <c r="B966" s="2"/>
      <c r="C966" s="3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5"/>
      <c r="P966" s="2"/>
      <c r="Q966" s="6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</row>
    <row r="967" ht="12.75" customHeight="1">
      <c r="A967" s="2"/>
      <c r="B967" s="2"/>
      <c r="C967" s="3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5"/>
      <c r="P967" s="2"/>
      <c r="Q967" s="6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</row>
    <row r="968" ht="12.75" customHeight="1">
      <c r="A968" s="2"/>
      <c r="B968" s="2"/>
      <c r="C968" s="3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5"/>
      <c r="P968" s="2"/>
      <c r="Q968" s="6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</row>
    <row r="969" ht="12.75" customHeight="1">
      <c r="A969" s="2"/>
      <c r="B969" s="2"/>
      <c r="C969" s="3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5"/>
      <c r="P969" s="2"/>
      <c r="Q969" s="6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</row>
    <row r="970" ht="12.75" customHeight="1">
      <c r="A970" s="2"/>
      <c r="B970" s="2"/>
      <c r="C970" s="3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5"/>
      <c r="P970" s="2"/>
      <c r="Q970" s="6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</row>
    <row r="971" ht="12.75" customHeight="1">
      <c r="A971" s="2"/>
      <c r="B971" s="2"/>
      <c r="C971" s="3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5"/>
      <c r="P971" s="2"/>
      <c r="Q971" s="6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</row>
    <row r="972" ht="12.75" customHeight="1">
      <c r="A972" s="2"/>
      <c r="B972" s="2"/>
      <c r="C972" s="3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5"/>
      <c r="P972" s="2"/>
      <c r="Q972" s="6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</row>
    <row r="973" ht="12.75" customHeight="1">
      <c r="A973" s="2"/>
      <c r="B973" s="2"/>
      <c r="C973" s="3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5"/>
      <c r="P973" s="2"/>
      <c r="Q973" s="6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</row>
    <row r="974" ht="12.75" customHeight="1">
      <c r="A974" s="2"/>
      <c r="B974" s="2"/>
      <c r="C974" s="3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5"/>
      <c r="P974" s="2"/>
      <c r="Q974" s="6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</row>
    <row r="975" ht="12.75" customHeight="1">
      <c r="A975" s="2"/>
      <c r="B975" s="2"/>
      <c r="C975" s="3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5"/>
      <c r="P975" s="2"/>
      <c r="Q975" s="6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</row>
    <row r="976" ht="12.75" customHeight="1">
      <c r="A976" s="2"/>
      <c r="B976" s="2"/>
      <c r="C976" s="3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5"/>
      <c r="P976" s="2"/>
      <c r="Q976" s="6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</row>
    <row r="977" ht="12.75" customHeight="1">
      <c r="A977" s="2"/>
      <c r="B977" s="2"/>
      <c r="C977" s="3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5"/>
      <c r="P977" s="2"/>
      <c r="Q977" s="6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</row>
    <row r="978" ht="12.75" customHeight="1">
      <c r="A978" s="2"/>
      <c r="B978" s="2"/>
      <c r="C978" s="3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5"/>
      <c r="P978" s="2"/>
      <c r="Q978" s="6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</row>
    <row r="979" ht="12.75" customHeight="1">
      <c r="A979" s="2"/>
      <c r="B979" s="2"/>
      <c r="C979" s="3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5"/>
      <c r="P979" s="2"/>
      <c r="Q979" s="6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</row>
    <row r="980" ht="12.75" customHeight="1">
      <c r="A980" s="2"/>
      <c r="B980" s="2"/>
      <c r="C980" s="3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5"/>
      <c r="P980" s="2"/>
      <c r="Q980" s="6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</row>
    <row r="981" ht="12.75" customHeight="1">
      <c r="A981" s="2"/>
      <c r="B981" s="2"/>
      <c r="C981" s="3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5"/>
      <c r="P981" s="2"/>
      <c r="Q981" s="6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</row>
    <row r="982" ht="12.75" customHeight="1">
      <c r="A982" s="2"/>
      <c r="B982" s="2"/>
      <c r="C982" s="3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5"/>
      <c r="P982" s="2"/>
      <c r="Q982" s="6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</row>
    <row r="983" ht="12.75" customHeight="1">
      <c r="A983" s="2"/>
      <c r="B983" s="2"/>
      <c r="C983" s="3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5"/>
      <c r="P983" s="2"/>
      <c r="Q983" s="6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</row>
    <row r="984" ht="12.75" customHeight="1">
      <c r="A984" s="2"/>
      <c r="B984" s="2"/>
      <c r="C984" s="3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5"/>
      <c r="P984" s="2"/>
      <c r="Q984" s="6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</row>
    <row r="985" ht="12.75" customHeight="1">
      <c r="A985" s="2"/>
      <c r="B985" s="2"/>
      <c r="C985" s="3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5"/>
      <c r="P985" s="2"/>
      <c r="Q985" s="6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</row>
    <row r="986" ht="12.75" customHeight="1">
      <c r="A986" s="2"/>
      <c r="B986" s="2"/>
      <c r="C986" s="3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5"/>
      <c r="P986" s="2"/>
      <c r="Q986" s="6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</row>
    <row r="987" ht="12.75" customHeight="1">
      <c r="A987" s="2"/>
      <c r="B987" s="2"/>
      <c r="C987" s="3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5"/>
      <c r="P987" s="2"/>
      <c r="Q987" s="6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</row>
    <row r="988" ht="12.75" customHeight="1">
      <c r="A988" s="2"/>
      <c r="B988" s="2"/>
      <c r="C988" s="3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5"/>
      <c r="P988" s="2"/>
      <c r="Q988" s="6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</row>
    <row r="989" ht="12.75" customHeight="1">
      <c r="A989" s="2"/>
      <c r="B989" s="2"/>
      <c r="C989" s="3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5"/>
      <c r="P989" s="2"/>
      <c r="Q989" s="6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</row>
    <row r="990" ht="12.75" customHeight="1">
      <c r="A990" s="2"/>
      <c r="B990" s="2"/>
      <c r="C990" s="3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5"/>
      <c r="P990" s="2"/>
      <c r="Q990" s="6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</row>
    <row r="991" ht="12.75" customHeight="1">
      <c r="A991" s="2"/>
      <c r="B991" s="2"/>
      <c r="C991" s="3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5"/>
      <c r="P991" s="2"/>
      <c r="Q991" s="6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</row>
    <row r="992" ht="12.75" customHeight="1">
      <c r="A992" s="2"/>
      <c r="B992" s="2"/>
      <c r="C992" s="3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5"/>
      <c r="P992" s="2"/>
      <c r="Q992" s="6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</row>
    <row r="993" ht="12.75" customHeight="1">
      <c r="A993" s="2"/>
      <c r="B993" s="2"/>
      <c r="C993" s="3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5"/>
      <c r="P993" s="2"/>
      <c r="Q993" s="6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</row>
    <row r="994" ht="12.75" customHeight="1">
      <c r="A994" s="2"/>
      <c r="B994" s="2"/>
      <c r="C994" s="3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5"/>
      <c r="P994" s="2"/>
      <c r="Q994" s="6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</row>
    <row r="995" ht="12.75" customHeight="1">
      <c r="A995" s="2"/>
      <c r="B995" s="2"/>
      <c r="C995" s="3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5"/>
      <c r="P995" s="2"/>
      <c r="Q995" s="6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</row>
    <row r="996" ht="12.75" customHeight="1">
      <c r="A996" s="2"/>
      <c r="B996" s="2"/>
      <c r="C996" s="3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5"/>
      <c r="P996" s="2"/>
      <c r="Q996" s="6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</row>
    <row r="997" ht="12.75" customHeight="1">
      <c r="A997" s="2"/>
      <c r="B997" s="2"/>
      <c r="C997" s="3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5"/>
      <c r="P997" s="2"/>
      <c r="Q997" s="6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</row>
    <row r="998" ht="12.75" customHeight="1">
      <c r="A998" s="2"/>
      <c r="B998" s="2"/>
      <c r="C998" s="3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5"/>
      <c r="P998" s="2"/>
      <c r="Q998" s="6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</row>
    <row r="999" ht="12.75" customHeight="1">
      <c r="A999" s="2"/>
      <c r="B999" s="2"/>
      <c r="C999" s="3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5"/>
      <c r="P999" s="2"/>
      <c r="Q999" s="6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</row>
    <row r="1000" ht="12.75" customHeight="1">
      <c r="A1000" s="2"/>
      <c r="B1000" s="2"/>
      <c r="C1000" s="3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5"/>
      <c r="P1000" s="2"/>
      <c r="Q1000" s="6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</row>
    <row r="1001" ht="12.75" customHeight="1">
      <c r="A1001" s="2"/>
      <c r="B1001" s="2"/>
      <c r="C1001" s="3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5"/>
      <c r="P1001" s="2"/>
      <c r="Q1001" s="6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</row>
    <row r="1002" ht="12.75" customHeight="1">
      <c r="A1002" s="2"/>
      <c r="B1002" s="2"/>
      <c r="C1002" s="3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5"/>
      <c r="P1002" s="2"/>
      <c r="Q1002" s="6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</row>
    <row r="1003" ht="12.75" customHeight="1">
      <c r="A1003" s="2"/>
      <c r="B1003" s="2"/>
      <c r="C1003" s="3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5"/>
      <c r="P1003" s="2"/>
      <c r="Q1003" s="6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</row>
    <row r="1004" ht="12.75" customHeight="1">
      <c r="A1004" s="2"/>
      <c r="B1004" s="2"/>
      <c r="C1004" s="3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5"/>
      <c r="P1004" s="2"/>
      <c r="Q1004" s="6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</row>
    <row r="1005" ht="12.75" customHeight="1">
      <c r="A1005" s="2"/>
      <c r="B1005" s="2"/>
      <c r="C1005" s="3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5"/>
      <c r="P1005" s="2"/>
      <c r="Q1005" s="6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</row>
    <row r="1006" ht="12.75" customHeight="1">
      <c r="A1006" s="2"/>
      <c r="B1006" s="2"/>
      <c r="C1006" s="3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5"/>
      <c r="P1006" s="2"/>
      <c r="Q1006" s="6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</row>
    <row r="1007" ht="12.75" customHeight="1">
      <c r="A1007" s="2"/>
      <c r="B1007" s="2"/>
      <c r="C1007" s="3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5"/>
      <c r="P1007" s="2"/>
      <c r="Q1007" s="6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</row>
    <row r="1008" ht="12.75" customHeight="1">
      <c r="A1008" s="2"/>
      <c r="B1008" s="2"/>
      <c r="C1008" s="3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5"/>
      <c r="P1008" s="2"/>
      <c r="Q1008" s="6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</row>
    <row r="1009" ht="12.75" customHeight="1">
      <c r="A1009" s="2"/>
      <c r="B1009" s="2"/>
      <c r="C1009" s="3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5"/>
      <c r="P1009" s="2"/>
      <c r="Q1009" s="6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</row>
    <row r="1010" ht="12.75" customHeight="1">
      <c r="A1010" s="2"/>
      <c r="B1010" s="2"/>
      <c r="C1010" s="3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5"/>
      <c r="P1010" s="2"/>
      <c r="Q1010" s="6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</row>
    <row r="1011" ht="12.75" customHeight="1">
      <c r="A1011" s="2"/>
      <c r="B1011" s="2"/>
      <c r="C1011" s="3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5"/>
      <c r="P1011" s="2"/>
      <c r="Q1011" s="6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</row>
    <row r="1012" ht="12.75" customHeight="1">
      <c r="A1012" s="2"/>
      <c r="B1012" s="2"/>
      <c r="C1012" s="3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5"/>
      <c r="P1012" s="2"/>
      <c r="Q1012" s="6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</row>
    <row r="1013" ht="12.75" customHeight="1">
      <c r="A1013" s="2"/>
      <c r="B1013" s="2"/>
      <c r="C1013" s="3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5"/>
      <c r="P1013" s="2"/>
      <c r="Q1013" s="6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</row>
    <row r="1014" ht="12.75" customHeight="1">
      <c r="A1014" s="2"/>
      <c r="B1014" s="2"/>
      <c r="C1014" s="3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5"/>
      <c r="P1014" s="2"/>
      <c r="Q1014" s="6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</row>
    <row r="1015" ht="12.75" customHeight="1">
      <c r="A1015" s="2"/>
      <c r="B1015" s="2"/>
      <c r="C1015" s="3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5"/>
      <c r="P1015" s="2"/>
      <c r="Q1015" s="6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</row>
    <row r="1016" ht="12.75" customHeight="1">
      <c r="A1016" s="2"/>
      <c r="B1016" s="2"/>
      <c r="C1016" s="3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5"/>
      <c r="P1016" s="2"/>
      <c r="Q1016" s="6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</row>
    <row r="1017" ht="12.75" customHeight="1">
      <c r="A1017" s="2"/>
      <c r="B1017" s="2"/>
      <c r="C1017" s="3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5"/>
      <c r="P1017" s="2"/>
      <c r="Q1017" s="6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</row>
    <row r="1018" ht="12.75" customHeight="1">
      <c r="A1018" s="2"/>
      <c r="B1018" s="2"/>
      <c r="C1018" s="3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5"/>
      <c r="P1018" s="2"/>
      <c r="Q1018" s="6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</row>
    <row r="1019" ht="12.75" customHeight="1">
      <c r="A1019" s="2"/>
      <c r="B1019" s="2"/>
      <c r="C1019" s="3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5"/>
      <c r="P1019" s="2"/>
      <c r="Q1019" s="6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</row>
    <row r="1020" ht="12.75" customHeight="1">
      <c r="A1020" s="2"/>
      <c r="B1020" s="2"/>
      <c r="C1020" s="3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5"/>
      <c r="P1020" s="2"/>
      <c r="Q1020" s="6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</row>
    <row r="1021" ht="12.75" customHeight="1">
      <c r="A1021" s="2"/>
      <c r="B1021" s="2"/>
      <c r="C1021" s="3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5"/>
      <c r="P1021" s="2"/>
      <c r="Q1021" s="6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</row>
    <row r="1022" ht="12.75" customHeight="1">
      <c r="A1022" s="2"/>
      <c r="B1022" s="2"/>
      <c r="C1022" s="3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5"/>
      <c r="P1022" s="2"/>
      <c r="Q1022" s="6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</row>
    <row r="1023" ht="12.75" customHeight="1">
      <c r="A1023" s="2"/>
      <c r="B1023" s="2"/>
      <c r="C1023" s="3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5"/>
      <c r="P1023" s="2"/>
      <c r="Q1023" s="6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</row>
    <row r="1024" ht="12.75" customHeight="1">
      <c r="A1024" s="2"/>
      <c r="B1024" s="2"/>
      <c r="C1024" s="3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5"/>
      <c r="P1024" s="2"/>
      <c r="Q1024" s="6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</row>
    <row r="1025" ht="12.75" customHeight="1">
      <c r="A1025" s="2"/>
      <c r="B1025" s="2"/>
      <c r="C1025" s="3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5"/>
      <c r="P1025" s="2"/>
      <c r="Q1025" s="6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</row>
    <row r="1026" ht="12.75" customHeight="1">
      <c r="A1026" s="2"/>
      <c r="B1026" s="2"/>
      <c r="C1026" s="3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5"/>
      <c r="P1026" s="2"/>
      <c r="Q1026" s="6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</row>
    <row r="1027" ht="12.75" customHeight="1">
      <c r="A1027" s="2"/>
      <c r="B1027" s="2"/>
      <c r="C1027" s="3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5"/>
      <c r="P1027" s="2"/>
      <c r="Q1027" s="6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</row>
    <row r="1028" ht="12.75" customHeight="1">
      <c r="A1028" s="2"/>
      <c r="B1028" s="2"/>
      <c r="C1028" s="3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5"/>
      <c r="P1028" s="2"/>
      <c r="Q1028" s="6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</row>
    <row r="1029" ht="12.75" customHeight="1">
      <c r="A1029" s="2"/>
      <c r="B1029" s="2"/>
      <c r="C1029" s="3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5"/>
      <c r="P1029" s="2"/>
      <c r="Q1029" s="6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</row>
    <row r="1030" ht="12.75" customHeight="1">
      <c r="A1030" s="2"/>
      <c r="B1030" s="2"/>
      <c r="C1030" s="3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5"/>
      <c r="P1030" s="2"/>
      <c r="Q1030" s="6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</row>
    <row r="1031" ht="12.75" customHeight="1">
      <c r="A1031" s="2"/>
      <c r="B1031" s="2"/>
      <c r="C1031" s="3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5"/>
      <c r="P1031" s="2"/>
      <c r="Q1031" s="6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</row>
    <row r="1032" ht="12.75" customHeight="1">
      <c r="A1032" s="2"/>
      <c r="B1032" s="2"/>
      <c r="C1032" s="3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5"/>
      <c r="P1032" s="2"/>
      <c r="Q1032" s="6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</row>
    <row r="1033" ht="12.75" customHeight="1">
      <c r="A1033" s="2"/>
      <c r="B1033" s="2"/>
      <c r="C1033" s="3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5"/>
      <c r="P1033" s="2"/>
      <c r="Q1033" s="6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</row>
    <row r="1034" ht="12.75" customHeight="1">
      <c r="A1034" s="2"/>
      <c r="B1034" s="2"/>
      <c r="C1034" s="3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5"/>
      <c r="P1034" s="2"/>
      <c r="Q1034" s="6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</row>
    <row r="1035" ht="12.75" customHeight="1">
      <c r="A1035" s="2"/>
      <c r="B1035" s="2"/>
      <c r="C1035" s="3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5"/>
      <c r="P1035" s="2"/>
      <c r="Q1035" s="6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</row>
    <row r="1036" ht="12.75" customHeight="1">
      <c r="A1036" s="2"/>
      <c r="B1036" s="2"/>
      <c r="C1036" s="3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5"/>
      <c r="P1036" s="2"/>
      <c r="Q1036" s="6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</row>
    <row r="1037" ht="12.75" customHeight="1">
      <c r="A1037" s="2"/>
      <c r="B1037" s="2"/>
      <c r="C1037" s="3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5"/>
      <c r="P1037" s="2"/>
      <c r="Q1037" s="6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</row>
    <row r="1038" ht="12.75" customHeight="1">
      <c r="A1038" s="2"/>
      <c r="B1038" s="2"/>
      <c r="C1038" s="3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5"/>
      <c r="P1038" s="2"/>
      <c r="Q1038" s="6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</row>
    <row r="1039" ht="12.75" customHeight="1">
      <c r="A1039" s="2"/>
      <c r="B1039" s="2"/>
      <c r="C1039" s="3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5"/>
      <c r="P1039" s="2"/>
      <c r="Q1039" s="6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</row>
    <row r="1040" ht="12.75" customHeight="1">
      <c r="A1040" s="2"/>
      <c r="B1040" s="2"/>
      <c r="C1040" s="3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5"/>
      <c r="P1040" s="2"/>
      <c r="Q1040" s="6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</row>
    <row r="1041" ht="12.75" customHeight="1">
      <c r="A1041" s="2"/>
      <c r="B1041" s="2"/>
      <c r="C1041" s="3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5"/>
      <c r="P1041" s="2"/>
      <c r="Q1041" s="6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</row>
    <row r="1042" ht="12.75" customHeight="1">
      <c r="A1042" s="2"/>
      <c r="B1042" s="2"/>
      <c r="C1042" s="3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5"/>
      <c r="P1042" s="2"/>
      <c r="Q1042" s="6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</row>
    <row r="1043" ht="12.75" customHeight="1">
      <c r="A1043" s="2"/>
      <c r="B1043" s="2"/>
      <c r="C1043" s="3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5"/>
      <c r="P1043" s="2"/>
      <c r="Q1043" s="6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</row>
    <row r="1044" ht="12.75" customHeight="1">
      <c r="A1044" s="2"/>
      <c r="B1044" s="2"/>
      <c r="C1044" s="3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5"/>
      <c r="P1044" s="2"/>
      <c r="Q1044" s="6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</row>
    <row r="1045" ht="12.75" customHeight="1">
      <c r="A1045" s="2"/>
      <c r="B1045" s="2"/>
      <c r="C1045" s="3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5"/>
      <c r="P1045" s="2"/>
      <c r="Q1045" s="6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</row>
    <row r="1046" ht="12.75" customHeight="1">
      <c r="A1046" s="2"/>
      <c r="B1046" s="2"/>
      <c r="C1046" s="3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5"/>
      <c r="P1046" s="2"/>
      <c r="Q1046" s="6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</row>
    <row r="1047" ht="12.75" customHeight="1">
      <c r="A1047" s="2"/>
      <c r="B1047" s="2"/>
      <c r="C1047" s="3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5"/>
      <c r="P1047" s="2"/>
      <c r="Q1047" s="6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</row>
    <row r="1048" ht="12.75" customHeight="1">
      <c r="A1048" s="2"/>
      <c r="B1048" s="2"/>
      <c r="C1048" s="3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5"/>
      <c r="P1048" s="2"/>
      <c r="Q1048" s="6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</row>
    <row r="1049" ht="12.75" customHeight="1">
      <c r="A1049" s="2"/>
      <c r="B1049" s="2"/>
      <c r="C1049" s="3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5"/>
      <c r="P1049" s="2"/>
      <c r="Q1049" s="6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</row>
    <row r="1050" ht="12.75" customHeight="1">
      <c r="A1050" s="2"/>
      <c r="B1050" s="2"/>
      <c r="C1050" s="3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5"/>
      <c r="P1050" s="2"/>
      <c r="Q1050" s="6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</row>
    <row r="1051" ht="12.75" customHeight="1">
      <c r="A1051" s="2"/>
      <c r="B1051" s="2"/>
      <c r="C1051" s="3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5"/>
      <c r="P1051" s="2"/>
      <c r="Q1051" s="6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</row>
    <row r="1052" ht="12.75" customHeight="1">
      <c r="A1052" s="2"/>
      <c r="B1052" s="2"/>
      <c r="C1052" s="3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5"/>
      <c r="P1052" s="2"/>
      <c r="Q1052" s="6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</row>
    <row r="1053" ht="12.75" customHeight="1">
      <c r="A1053" s="2"/>
      <c r="B1053" s="2"/>
      <c r="C1053" s="3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5"/>
      <c r="P1053" s="2"/>
      <c r="Q1053" s="6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</row>
    <row r="1054" ht="12.75" customHeight="1">
      <c r="A1054" s="2"/>
      <c r="B1054" s="2"/>
      <c r="C1054" s="3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5"/>
      <c r="P1054" s="2"/>
      <c r="Q1054" s="6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</row>
    <row r="1055" ht="12.75" customHeight="1">
      <c r="A1055" s="2"/>
      <c r="B1055" s="2"/>
      <c r="C1055" s="3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5"/>
      <c r="P1055" s="2"/>
      <c r="Q1055" s="6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</row>
    <row r="1056" ht="12.75" customHeight="1">
      <c r="A1056" s="2"/>
      <c r="B1056" s="2"/>
      <c r="C1056" s="3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5"/>
      <c r="P1056" s="2"/>
      <c r="Q1056" s="6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</row>
    <row r="1057" ht="12.75" customHeight="1">
      <c r="A1057" s="2"/>
      <c r="B1057" s="2"/>
      <c r="C1057" s="3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5"/>
      <c r="P1057" s="2"/>
      <c r="Q1057" s="6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</row>
    <row r="1058" ht="12.75" customHeight="1">
      <c r="A1058" s="2"/>
      <c r="B1058" s="2"/>
      <c r="C1058" s="3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5"/>
      <c r="P1058" s="2"/>
      <c r="Q1058" s="6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</row>
    <row r="1059" ht="12.75" customHeight="1">
      <c r="A1059" s="2"/>
      <c r="B1059" s="2"/>
      <c r="C1059" s="3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5"/>
      <c r="P1059" s="2"/>
      <c r="Q1059" s="6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</row>
    <row r="1060" ht="12.75" customHeight="1">
      <c r="A1060" s="2"/>
      <c r="B1060" s="2"/>
      <c r="C1060" s="3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5"/>
      <c r="P1060" s="2"/>
      <c r="Q1060" s="6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</row>
    <row r="1061" ht="12.75" customHeight="1">
      <c r="A1061" s="2"/>
      <c r="B1061" s="2"/>
      <c r="C1061" s="3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5"/>
      <c r="P1061" s="2"/>
      <c r="Q1061" s="6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</row>
    <row r="1062" ht="12.75" customHeight="1">
      <c r="A1062" s="2"/>
      <c r="B1062" s="2"/>
      <c r="C1062" s="3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5"/>
      <c r="P1062" s="2"/>
      <c r="Q1062" s="6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</row>
    <row r="1063" ht="12.75" customHeight="1">
      <c r="A1063" s="2"/>
      <c r="B1063" s="2"/>
      <c r="C1063" s="3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5"/>
      <c r="P1063" s="2"/>
      <c r="Q1063" s="6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</row>
    <row r="1064" ht="12.75" customHeight="1">
      <c r="A1064" s="2"/>
      <c r="B1064" s="2"/>
      <c r="C1064" s="3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5"/>
      <c r="P1064" s="2"/>
      <c r="Q1064" s="6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</row>
    <row r="1065" ht="12.75" customHeight="1">
      <c r="A1065" s="2"/>
      <c r="B1065" s="2"/>
      <c r="C1065" s="3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5"/>
      <c r="P1065" s="2"/>
      <c r="Q1065" s="6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</row>
    <row r="1066" ht="12.75" customHeight="1">
      <c r="A1066" s="2"/>
      <c r="B1066" s="2"/>
      <c r="C1066" s="3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5"/>
      <c r="P1066" s="2"/>
      <c r="Q1066" s="6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</row>
    <row r="1067" ht="12.75" customHeight="1">
      <c r="A1067" s="2"/>
      <c r="B1067" s="2"/>
      <c r="C1067" s="3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5"/>
      <c r="P1067" s="2"/>
      <c r="Q1067" s="6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</row>
    <row r="1068" ht="12.75" customHeight="1">
      <c r="A1068" s="2"/>
      <c r="B1068" s="2"/>
      <c r="C1068" s="3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5"/>
      <c r="P1068" s="2"/>
      <c r="Q1068" s="6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</row>
    <row r="1069" ht="12.75" customHeight="1">
      <c r="A1069" s="2"/>
      <c r="B1069" s="2"/>
      <c r="C1069" s="3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5"/>
      <c r="P1069" s="2"/>
      <c r="Q1069" s="6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</row>
    <row r="1070" ht="12.75" customHeight="1">
      <c r="A1070" s="2"/>
      <c r="B1070" s="2"/>
      <c r="C1070" s="3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5"/>
      <c r="P1070" s="2"/>
      <c r="Q1070" s="6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</row>
    <row r="1071" ht="12.75" customHeight="1">
      <c r="A1071" s="2"/>
      <c r="B1071" s="2"/>
      <c r="C1071" s="3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5"/>
      <c r="P1071" s="2"/>
      <c r="Q1071" s="6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</row>
  </sheetData>
  <drawing r:id="rId1"/>
</worksheet>
</file>